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W:\M Reed\Health\Anthem 2026-2027\"/>
    </mc:Choice>
  </mc:AlternateContent>
  <xr:revisionPtr revIDLastSave="0" documentId="13_ncr:1_{883B0640-6BC3-417F-BD37-E9430D27C6D1}" xr6:coauthVersionLast="47" xr6:coauthVersionMax="47" xr10:uidLastSave="{00000000-0000-0000-0000-000000000000}"/>
  <workbookProtection workbookAlgorithmName="SHA-512" workbookHashValue="C2mycCU6OOlNomBmzHyyrx3QI4cQK+TWlfK4bG823JXpet7Iq2/CPpyWC7vwwHLQp2KyKgQ23/LFoJnudwSr5A==" workbookSaltValue="lBi/QlBKBZbb3MAYDNcPAA==" workbookSpinCount="100000" lockStructure="1"/>
  <bookViews>
    <workbookView xWindow="28680" yWindow="-120" windowWidth="29040" windowHeight="15720" xr2:uid="{C41DE3CC-1974-4458-A82E-6B7CD16CAF83}"/>
  </bookViews>
  <sheets>
    <sheet name="Sheet1" sheetId="1" r:id="rId1"/>
    <sheet name="Sheet 2 - FY27" sheetId="2" state="hidden" r:id="rId2"/>
  </sheets>
  <definedNames>
    <definedName name="_xlnm.Print_Area" localSheetId="0">Sheet1!$A$1:$L$49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L3" i="2"/>
  <c r="D109" i="2" s="1"/>
  <c r="K5" i="1"/>
  <c r="K38" i="1" s="1"/>
  <c r="O39" i="2"/>
  <c r="S53" i="2" s="1"/>
  <c r="K16" i="1"/>
  <c r="I16" i="1"/>
  <c r="G16" i="1"/>
  <c r="E110" i="2" l="1"/>
  <c r="E109" i="2"/>
  <c r="C110" i="2"/>
  <c r="D110" i="2"/>
  <c r="C109" i="2"/>
  <c r="T53" i="2"/>
  <c r="U53" i="2"/>
  <c r="S54" i="2"/>
  <c r="T54" i="2"/>
  <c r="U54" i="2"/>
  <c r="S52" i="2"/>
  <c r="T52" i="2"/>
  <c r="U52" i="2"/>
  <c r="T55" i="2"/>
  <c r="E46" i="2" l="1"/>
  <c r="D46" i="2"/>
  <c r="C46" i="2"/>
  <c r="E45" i="2"/>
  <c r="D45" i="2"/>
  <c r="C45" i="2"/>
  <c r="E44" i="2"/>
  <c r="D44" i="2"/>
  <c r="C44" i="2"/>
  <c r="E43" i="2"/>
  <c r="D43" i="2"/>
  <c r="C43" i="2"/>
  <c r="E42" i="2"/>
  <c r="D42" i="2"/>
  <c r="C42" i="2"/>
  <c r="E59" i="2"/>
  <c r="D59" i="2"/>
  <c r="C59" i="2"/>
  <c r="E58" i="2"/>
  <c r="D58" i="2"/>
  <c r="C58" i="2"/>
  <c r="E57" i="2"/>
  <c r="D57" i="2"/>
  <c r="C57" i="2"/>
  <c r="E56" i="2"/>
  <c r="E60" i="2" s="1"/>
  <c r="D56" i="2"/>
  <c r="D60" i="2" s="1"/>
  <c r="D63" i="2" s="1"/>
  <c r="D64" i="2" s="1"/>
  <c r="E55" i="2"/>
  <c r="D55" i="2"/>
  <c r="C55" i="2"/>
  <c r="C56" i="2"/>
  <c r="C60" i="2"/>
  <c r="C63" i="2" s="1"/>
  <c r="C64" i="2" s="1"/>
  <c r="E84" i="2"/>
  <c r="D84" i="2"/>
  <c r="C84" i="2"/>
  <c r="E83" i="2"/>
  <c r="D83" i="2"/>
  <c r="C83" i="2"/>
  <c r="E82" i="2"/>
  <c r="D82" i="2"/>
  <c r="C82" i="2"/>
  <c r="E81" i="2"/>
  <c r="D81" i="2"/>
  <c r="C81" i="2"/>
  <c r="E96" i="2"/>
  <c r="D96" i="2"/>
  <c r="C96" i="2"/>
  <c r="E95" i="2"/>
  <c r="D95" i="2"/>
  <c r="C95" i="2"/>
  <c r="E94" i="2"/>
  <c r="D94" i="2"/>
  <c r="C94" i="2"/>
  <c r="E93" i="2"/>
  <c r="D93" i="2"/>
  <c r="C93" i="2"/>
  <c r="N3" i="2"/>
  <c r="R45" i="2"/>
  <c r="R54" i="2" s="1"/>
  <c r="D97" i="2" l="1"/>
  <c r="D98" i="2" s="1"/>
  <c r="D99" i="2" s="1"/>
  <c r="E97" i="2"/>
  <c r="R44" i="2"/>
  <c r="I7" i="1"/>
  <c r="C47" i="2"/>
  <c r="C50" i="2" s="1"/>
  <c r="C51" i="2" s="1"/>
  <c r="R42" i="2"/>
  <c r="R53" i="2" s="1"/>
  <c r="I5" i="1"/>
  <c r="I38" i="1" s="1"/>
  <c r="D47" i="2"/>
  <c r="D50" i="2" s="1"/>
  <c r="D51" i="2" s="1"/>
  <c r="E47" i="2"/>
  <c r="E48" i="2" s="1"/>
  <c r="U55" i="2"/>
  <c r="E61" i="2"/>
  <c r="E62" i="2" s="1"/>
  <c r="D85" i="2"/>
  <c r="D86" i="2" s="1"/>
  <c r="D87" i="2" s="1"/>
  <c r="D89" i="2" s="1"/>
  <c r="E85" i="2"/>
  <c r="E86" i="2" s="1"/>
  <c r="C85" i="2"/>
  <c r="C86" i="2" s="1"/>
  <c r="C97" i="2"/>
  <c r="C98" i="2" s="1"/>
  <c r="S55" i="2"/>
  <c r="I6" i="1"/>
  <c r="C105" i="2" l="1"/>
  <c r="C112" i="2" s="1"/>
  <c r="D106" i="2"/>
  <c r="D101" i="2"/>
  <c r="D105" i="2"/>
  <c r="D112" i="2" s="1"/>
  <c r="R41" i="2"/>
  <c r="G7" i="1"/>
  <c r="R47" i="2"/>
  <c r="K7" i="1"/>
  <c r="R39" i="2"/>
  <c r="G5" i="1"/>
  <c r="G38" i="1" s="1"/>
  <c r="R43" i="2"/>
  <c r="R40" i="2"/>
  <c r="R46" i="2"/>
  <c r="K6" i="1"/>
  <c r="E49" i="2"/>
  <c r="E87" i="2"/>
  <c r="E89" i="2" s="1"/>
  <c r="E64" i="2"/>
  <c r="C65" i="2" s="1"/>
  <c r="C87" i="2"/>
  <c r="C89" i="2" s="1"/>
  <c r="C99" i="2"/>
  <c r="E98" i="2"/>
  <c r="C106" i="2" l="1"/>
  <c r="E51" i="2"/>
  <c r="C52" i="2" s="1"/>
  <c r="E99" i="2"/>
  <c r="R55" i="2"/>
  <c r="R52" i="2"/>
  <c r="C90" i="2"/>
  <c r="C101" i="2"/>
  <c r="E101" i="2" l="1"/>
  <c r="C102" i="2"/>
  <c r="E71" i="2" l="1"/>
  <c r="D71" i="2"/>
  <c r="C71" i="2"/>
  <c r="E70" i="2"/>
  <c r="D70" i="2"/>
  <c r="C70" i="2"/>
  <c r="E69" i="2"/>
  <c r="E72" i="2" s="1"/>
  <c r="D69" i="2"/>
  <c r="D72" i="2" s="1"/>
  <c r="D75" i="2" s="1"/>
  <c r="D76" i="2" s="1"/>
  <c r="C69" i="2"/>
  <c r="C72" i="2" s="1"/>
  <c r="C75" i="2" s="1"/>
  <c r="C76" i="2" s="1"/>
  <c r="D68" i="2"/>
  <c r="C68" i="2"/>
  <c r="E68" i="2"/>
  <c r="F29" i="2"/>
  <c r="E11" i="2"/>
  <c r="E12" i="2" s="1"/>
  <c r="E13" i="2" s="1"/>
  <c r="D12" i="2"/>
  <c r="D13" i="2" s="1"/>
  <c r="C11" i="2"/>
  <c r="C12" i="2" s="1"/>
  <c r="C13" i="2" s="1"/>
  <c r="C14" i="2" l="1"/>
  <c r="C15" i="2" s="1"/>
  <c r="C16" i="2" s="1"/>
  <c r="C17" i="2" s="1"/>
  <c r="C18" i="2" s="1"/>
  <c r="C19" i="2" s="1"/>
  <c r="C20" i="2" s="1"/>
  <c r="C21" i="2"/>
  <c r="C24" i="2" s="1"/>
  <c r="D14" i="2"/>
  <c r="D15" i="2" s="1"/>
  <c r="D16" i="2" s="1"/>
  <c r="D17" i="2" s="1"/>
  <c r="D18" i="2" s="1"/>
  <c r="D19" i="2" s="1"/>
  <c r="D20" i="2" s="1"/>
  <c r="D21" i="2"/>
  <c r="D24" i="2" s="1"/>
  <c r="E14" i="2"/>
  <c r="E15" i="2" s="1"/>
  <c r="E16" i="2" s="1"/>
  <c r="E17" i="2" s="1"/>
  <c r="E18" i="2" s="1"/>
  <c r="E19" i="2" s="1"/>
  <c r="E20" i="2" s="1"/>
  <c r="E21" i="2"/>
  <c r="E22" i="2" s="1"/>
  <c r="E25" i="2" s="1"/>
  <c r="D30" i="2"/>
  <c r="D34" i="2" s="1"/>
  <c r="D36" i="2" s="1"/>
  <c r="C30" i="2"/>
  <c r="C34" i="2" s="1"/>
  <c r="C36" i="2" s="1"/>
  <c r="E33" i="2"/>
  <c r="C31" i="2"/>
  <c r="D33" i="2"/>
  <c r="C32" i="2"/>
  <c r="E31" i="2"/>
  <c r="D31" i="2"/>
  <c r="C33" i="2"/>
  <c r="E32" i="2"/>
  <c r="D32" i="2"/>
  <c r="E30" i="2"/>
  <c r="E34" i="2" s="1"/>
  <c r="E73" i="2"/>
  <c r="D29" i="2"/>
  <c r="E29" i="2"/>
  <c r="C29" i="2"/>
  <c r="D107" i="2" l="1"/>
  <c r="C107" i="2"/>
  <c r="C25" i="2"/>
  <c r="C26" i="2" s="1"/>
  <c r="D25" i="2"/>
  <c r="D38" i="2"/>
  <c r="D113" i="2"/>
  <c r="C38" i="2"/>
  <c r="C113" i="2"/>
  <c r="E74" i="2"/>
  <c r="E106" i="2" s="1"/>
  <c r="E35" i="2"/>
  <c r="E36" i="2" s="1"/>
  <c r="E107" i="2" s="1"/>
  <c r="D115" i="2" l="1"/>
  <c r="C115" i="2"/>
  <c r="G40" i="1" s="1"/>
  <c r="E76" i="2"/>
  <c r="C77" i="2" s="1"/>
  <c r="I40" i="1"/>
  <c r="I42" i="1" s="1"/>
  <c r="E105" i="2"/>
  <c r="E112" i="2" s="1"/>
  <c r="E113" i="2"/>
  <c r="E38" i="2"/>
  <c r="E115" i="2" l="1"/>
  <c r="K40" i="1" s="1"/>
  <c r="K42" i="1" s="1"/>
  <c r="C39" i="2"/>
  <c r="G42" i="1" l="1"/>
  <c r="C116" i="2"/>
</calcChain>
</file>

<file path=xl/sharedStrings.xml><?xml version="1.0" encoding="utf-8"?>
<sst xmlns="http://schemas.openxmlformats.org/spreadsheetml/2006/main" count="256" uniqueCount="107">
  <si>
    <t>Plan Option</t>
  </si>
  <si>
    <t>Sample Scenarios</t>
  </si>
  <si>
    <t>Annual Healthcare Contributions (Pre-Tax)</t>
  </si>
  <si>
    <t>None</t>
  </si>
  <si>
    <t>1 per month</t>
  </si>
  <si>
    <t>2 per month</t>
  </si>
  <si>
    <t>Maintenance (Generic) Medications</t>
  </si>
  <si>
    <t>3 per month</t>
  </si>
  <si>
    <t>4 per month</t>
  </si>
  <si>
    <t>Office Visits Per Year</t>
  </si>
  <si>
    <t>Generic Medications</t>
  </si>
  <si>
    <t>Brand Medications (Annual)</t>
  </si>
  <si>
    <t>Office Visits Annual</t>
  </si>
  <si>
    <t>Outpatient Surgery</t>
  </si>
  <si>
    <t>Plan Description</t>
  </si>
  <si>
    <t>Premium Plan</t>
  </si>
  <si>
    <t>HDHP Plan</t>
  </si>
  <si>
    <t>Standard Plan</t>
  </si>
  <si>
    <t>$500/$1,000 Deductible for Single/Family
$1,500/$3,000 Coinsurance limit for Single/Family
10% coinsurance for most in-network services
$6,600/$13,200 Out-of-Pocket Limit for Single/Family
$5 per generic prescription/30% coinsurance for most brand medications
$20 Office visit copay/$30 Specialist visit copay/$100 ER copay</t>
  </si>
  <si>
    <t>$1,500/$3,000 Deductible for Single/Family
$2,500/$5,000 Coinsurance limit for Single/Family
30% coinsurance for most in-network services
$6,600/$13,200 Out-of-Pocket Limit for Single/Family
$10 per generic prescription/30% coinsurance for most brand medications
$30 Office visit copay/$40 Specialist visit copay/$150 ER copay</t>
  </si>
  <si>
    <t>$2,000/$4,000 Deductible for Single/Family
20% Coinsurance for most in-network services
$2,000/$4,000 Coinsurance limit for Single/Family
$4,000/$8,000 Out-of-Pocket Limit for Single/Family</t>
  </si>
  <si>
    <t>5 per month</t>
  </si>
  <si>
    <t>6 per month</t>
  </si>
  <si>
    <t>7 per month</t>
  </si>
  <si>
    <t>8 per month</t>
  </si>
  <si>
    <t>9 per month</t>
  </si>
  <si>
    <t>10 per month</t>
  </si>
  <si>
    <t>13-24 (more than 1 per month)</t>
  </si>
  <si>
    <t>25+ scripts per year</t>
  </si>
  <si>
    <t>Brand Assumption</t>
  </si>
  <si>
    <t>Min</t>
  </si>
  <si>
    <t>Max</t>
  </si>
  <si>
    <t>1-6 (periodic)</t>
  </si>
  <si>
    <t>7-12 (less than 1 per month)</t>
  </si>
  <si>
    <t>25+ visits per year</t>
  </si>
  <si>
    <t>Specialist Visits Annual</t>
  </si>
  <si>
    <t>Trips to ER (Annual)</t>
  </si>
  <si>
    <t>1x (periodic)</t>
  </si>
  <si>
    <t>2-3 per year (less than 1 per month)</t>
  </si>
  <si>
    <t>4+ per year</t>
  </si>
  <si>
    <t>Inpatient Stays (Annual)</t>
  </si>
  <si>
    <t>Coverage Tier</t>
  </si>
  <si>
    <t>Single</t>
  </si>
  <si>
    <t>Family</t>
  </si>
  <si>
    <t>PARISH/SCHOOL/ENTITY  that contributes for SINGLE coverage only (Minimum Requirement)</t>
  </si>
  <si>
    <r>
      <rPr>
        <b/>
        <sz val="11"/>
        <color theme="1"/>
        <rFont val="Aptos Narrow"/>
        <family val="2"/>
        <scheme val="minor"/>
      </rPr>
      <t>Eligibility</t>
    </r>
    <r>
      <rPr>
        <sz val="11"/>
        <color theme="1"/>
        <rFont val="Aptos Narrow"/>
        <family val="2"/>
        <scheme val="minor"/>
      </rPr>
      <t xml:space="preserve">
All employees of participating employers may participate in these employee benefits if they work at least twenty-five (25) hours per week for more than five (5) consecutive months per year.  Employees are eligible if they work the total required number of hours at one or more locations.  </t>
    </r>
  </si>
  <si>
    <r>
      <rPr>
        <b/>
        <sz val="10.5"/>
        <color theme="1"/>
        <rFont val="Aptos Narrow"/>
        <family val="2"/>
        <scheme val="minor"/>
      </rPr>
      <t>Premium</t>
    </r>
    <r>
      <rPr>
        <sz val="10.5"/>
        <color theme="1"/>
        <rFont val="Aptos Narrow"/>
        <family val="2"/>
        <scheme val="minor"/>
      </rPr>
      <t xml:space="preserve"> Healthcare Plan Rates and Contributions</t>
    </r>
  </si>
  <si>
    <t>Entity that contributes for SINGLE coverage only</t>
  </si>
  <si>
    <t xml:space="preserve"> Monthly Rate </t>
  </si>
  <si>
    <t xml:space="preserve">Employer Contribution </t>
  </si>
  <si>
    <t xml:space="preserve"> Employee Contribution </t>
  </si>
  <si>
    <t>Per pay 24 pays</t>
  </si>
  <si>
    <t>Per pay 26 pays</t>
  </si>
  <si>
    <t>Two-Party</t>
  </si>
  <si>
    <r>
      <rPr>
        <b/>
        <sz val="10.5"/>
        <color theme="1"/>
        <rFont val="Aptos Narrow"/>
        <family val="2"/>
        <scheme val="minor"/>
      </rPr>
      <t>Standard</t>
    </r>
    <r>
      <rPr>
        <sz val="10.5"/>
        <color theme="1"/>
        <rFont val="Aptos Narrow"/>
        <family val="2"/>
        <scheme val="minor"/>
      </rPr>
      <t xml:space="preserve"> Healthcare Plan Rates and Contributions</t>
    </r>
  </si>
  <si>
    <t xml:space="preserve"> Single </t>
  </si>
  <si>
    <r>
      <rPr>
        <b/>
        <sz val="10.5"/>
        <color theme="1"/>
        <rFont val="Aptos Narrow"/>
        <family val="2"/>
        <scheme val="minor"/>
      </rPr>
      <t xml:space="preserve">High Deductible Healthcare Plan (HDHP) </t>
    </r>
    <r>
      <rPr>
        <sz val="10.5"/>
        <color theme="1"/>
        <rFont val="Aptos Narrow"/>
        <family val="2"/>
        <scheme val="minor"/>
      </rPr>
      <t>Rates and Contributions</t>
    </r>
  </si>
  <si>
    <t>EE Premium Annual</t>
  </si>
  <si>
    <t>Deductible</t>
  </si>
  <si>
    <t>Value</t>
  </si>
  <si>
    <t>Coinsurance Max</t>
  </si>
  <si>
    <t>OOPM</t>
  </si>
  <si>
    <t>Selection</t>
  </si>
  <si>
    <t>Plan Specific</t>
  </si>
  <si>
    <t>PLan limit</t>
  </si>
  <si>
    <t>Plan Selection</t>
  </si>
  <si>
    <t>Specialist Visits Per Year</t>
  </si>
  <si>
    <t>Trips to ER Per Year</t>
  </si>
  <si>
    <t>Outpatient Surgery (Annual)</t>
  </si>
  <si>
    <t>Coins</t>
  </si>
  <si>
    <t>Copay</t>
  </si>
  <si>
    <t>Total</t>
  </si>
  <si>
    <t>Page 1</t>
  </si>
  <si>
    <t>Open Enrollment Plan Comparison</t>
  </si>
  <si>
    <t>$5/generic</t>
  </si>
  <si>
    <t>$10/generic</t>
  </si>
  <si>
    <t>Ded + Coins</t>
  </si>
  <si>
    <t>$20/visit</t>
  </si>
  <si>
    <t>$30/visit</t>
  </si>
  <si>
    <t>$100/visit</t>
  </si>
  <si>
    <t>$40/visit</t>
  </si>
  <si>
    <t>$150/visit</t>
  </si>
  <si>
    <t>30% coinsurance</t>
  </si>
  <si>
    <t>10% coinsurance</t>
  </si>
  <si>
    <t>20% coinsurance</t>
  </si>
  <si>
    <t>Plan Limit</t>
  </si>
  <si>
    <t>Prem</t>
  </si>
  <si>
    <t>HDHP</t>
  </si>
  <si>
    <t>Standard</t>
  </si>
  <si>
    <t>Advantage Plan</t>
  </si>
  <si>
    <t>Default Monthly Employee Contribution Rates</t>
  </si>
  <si>
    <t>Coverage Level (Single, 2-Party, Family)*</t>
  </si>
  <si>
    <t>Additional (Brand) Medications Per Year</t>
  </si>
  <si>
    <t xml:space="preserve">All other cells not marked in yellow are intended to provide information only and are not able to be adjusted. Please use </t>
  </si>
  <si>
    <t xml:space="preserve">Instructions </t>
  </si>
  <si>
    <t>only the drop down menu options where provided. Drop down menu options will appear once an input cell is selected.</t>
  </si>
  <si>
    <r>
      <t xml:space="preserve">*Note if choosing 2-Party or Family coverage, all utilization estimates below should reflect your estimate of healthcare utilization by </t>
    </r>
    <r>
      <rPr>
        <u/>
        <sz val="8"/>
        <color theme="1"/>
        <rFont val="Aptos Narrow"/>
        <family val="2"/>
      </rPr>
      <t>all</t>
    </r>
    <r>
      <rPr>
        <sz val="8"/>
        <color theme="1"/>
        <rFont val="Aptos Narrow"/>
        <family val="2"/>
        <scheme val="minor"/>
      </rPr>
      <t xml:space="preserve"> family members covered under the benefit plan</t>
    </r>
  </si>
  <si>
    <t xml:space="preserve"> Note: frequency below should not include prescriptions or office visits which qualify as "preventive" care, as those services are covered at 100% on all plan options.</t>
  </si>
  <si>
    <r>
      <t xml:space="preserve">Please confirm the employee contributions highlighted in blue with your Business Manager. 
Rates may vary slightly from amounts below and </t>
    </r>
    <r>
      <rPr>
        <b/>
        <i/>
        <sz val="9"/>
        <color theme="1"/>
        <rFont val="Aptos Narrow"/>
        <family val="2"/>
      </rPr>
      <t>should be updated if necessary.</t>
    </r>
  </si>
  <si>
    <t>Annual Out-of-Pocket Estimate</t>
  </si>
  <si>
    <r>
      <rPr>
        <b/>
        <u/>
        <sz val="10"/>
        <color rgb="FFFF0000"/>
        <rFont val="Aptos Narrow"/>
        <family val="2"/>
      </rPr>
      <t>Disclaimer</t>
    </r>
    <r>
      <rPr>
        <sz val="10"/>
        <color rgb="FFFF0000"/>
        <rFont val="Aptos Narrow"/>
        <family val="2"/>
        <scheme val="minor"/>
      </rPr>
      <t>: This tool is based upon generally accepted health insurance cost per service information and guidelines and the information provided by Diocese of Toledo and its vendor partners. While it represents a best estimate of potential claim expenses, actual results will differ due to variables including but not limited to, location, setting, services rendered, network status, coupon cards, etc.</t>
    </r>
  </si>
  <si>
    <r>
      <t>Please update input values (</t>
    </r>
    <r>
      <rPr>
        <b/>
        <u/>
        <sz val="10"/>
        <color rgb="FFFF0000"/>
        <rFont val="Aptos Narrow"/>
        <family val="2"/>
      </rPr>
      <t>marked in yellow</t>
    </r>
    <r>
      <rPr>
        <sz val="10"/>
        <color rgb="FFFF0000"/>
        <rFont val="Aptos Narrow"/>
        <family val="2"/>
        <scheme val="minor"/>
      </rPr>
      <t>) with your planned Coverage Level and anticipated utilization for the coming 12 months.</t>
    </r>
  </si>
  <si>
    <t>Diocese of Toledo Benefit Plan Rates &amp; Contributions for FY2027</t>
  </si>
  <si>
    <t>Proposed Rates effective July 1, 2026 - June 30, 2027</t>
  </si>
  <si>
    <t>Premium Rates &amp; Contributions for FY2027 PROPOSED</t>
  </si>
  <si>
    <t>Plan Options Effective 7/1/2026</t>
  </si>
  <si>
    <t>Estimated Total Annual Healthcare Cost for Plan Year ending June 30, 2027 (contributions plus estimated out-of-pocket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</si>
</sst>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0_);[Red]\(&quot;$&quot;#,##0.0\)"/>
    <numFmt numFmtId="165" formatCode="&quot;$&quot;#,##0.00"/>
    <numFmt numFmtId="166" formatCode="&quot;$&quot;#,##0"/>
  </numFmts>
  <fonts count="18"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8"/>
      <name val="Aptos Narrow"/>
      <family val="2"/>
      <scheme val="minor"/>
    </font>
    <font>
      <b/>
      <sz val="10.5"/>
      <color theme="1"/>
      <name val="Aptos Narrow"/>
      <family val="2"/>
      <scheme val="minor"/>
    </font>
    <font>
      <sz val="10.5"/>
      <color theme="1"/>
      <name val="Aptos Narrow"/>
      <family val="2"/>
      <scheme val="minor"/>
    </font>
    <font>
      <sz val="10.5"/>
      <color rgb="FFFF0000"/>
      <name val="Aptos Narrow"/>
      <family val="2"/>
      <scheme val="minor"/>
    </font>
    <font>
      <b/>
      <sz val="14"/>
      <color theme="1"/>
      <name val="Aptos Narrow"/>
      <family val="2"/>
      <scheme val="minor"/>
    </font>
    <font>
      <b/>
      <sz val="10"/>
      <color theme="1"/>
      <name val="Aptos Narrow"/>
      <family val="2"/>
      <scheme val="minor"/>
    </font>
    <font>
      <sz val="10"/>
      <color theme="1"/>
      <name val="Aptos Narrow"/>
      <family val="2"/>
      <scheme val="minor"/>
    </font>
    <font>
      <sz val="9"/>
      <color theme="1"/>
      <name val="Aptos Narrow"/>
      <family val="2"/>
      <scheme val="minor"/>
    </font>
    <font>
      <sz val="8"/>
      <color theme="1"/>
      <name val="Aptos Narrow"/>
      <family val="2"/>
      <scheme val="minor"/>
    </font>
    <font>
      <u/>
      <sz val="8"/>
      <color theme="1"/>
      <name val="Aptos Narrow"/>
      <family val="2"/>
    </font>
    <font>
      <b/>
      <i/>
      <sz val="9"/>
      <color theme="1"/>
      <name val="Aptos Narrow"/>
      <family val="2"/>
    </font>
    <font>
      <sz val="10"/>
      <color rgb="FFFF0000"/>
      <name val="Aptos Narrow"/>
      <family val="2"/>
      <scheme val="minor"/>
    </font>
    <font>
      <b/>
      <u/>
      <sz val="10"/>
      <color rgb="FFFF0000"/>
      <name val="Aptos Narrow"/>
      <family val="2"/>
    </font>
    <font>
      <b/>
      <u/>
      <sz val="11"/>
      <color rgb="FFFF0000"/>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49992370372631"/>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89">
    <xf numFmtId="0" fontId="0" fillId="0" borderId="0" xfId="0"/>
    <xf numFmtId="0" fontId="0" fillId="0" borderId="0" xfId="0" applyAlignment="1">
      <alignment wrapText="1"/>
    </xf>
    <xf numFmtId="9" fontId="0" fillId="0" borderId="0" xfId="0" applyNumberFormat="1"/>
    <xf numFmtId="6" fontId="0" fillId="0" borderId="0" xfId="0" applyNumberFormat="1"/>
    <xf numFmtId="164" fontId="0" fillId="0" borderId="0" xfId="0" applyNumberFormat="1"/>
    <xf numFmtId="0" fontId="0" fillId="0" borderId="1" xfId="0" applyBorder="1"/>
    <xf numFmtId="0" fontId="0" fillId="2" borderId="0" xfId="0" applyFill="1"/>
    <xf numFmtId="0" fontId="3" fillId="0" borderId="0" xfId="0" applyFont="1" applyAlignment="1">
      <alignment horizontal="left"/>
    </xf>
    <xf numFmtId="0" fontId="5" fillId="3" borderId="2" xfId="0" applyFont="1" applyFill="1" applyBorder="1"/>
    <xf numFmtId="0" fontId="6" fillId="3" borderId="3" xfId="0" applyFont="1" applyFill="1" applyBorder="1"/>
    <xf numFmtId="0" fontId="3" fillId="3" borderId="3" xfId="0" applyFont="1" applyFill="1" applyBorder="1"/>
    <xf numFmtId="0" fontId="3" fillId="3" borderId="4" xfId="0" applyFont="1" applyFill="1" applyBorder="1"/>
    <xf numFmtId="0" fontId="5" fillId="2" borderId="5" xfId="0" applyFont="1" applyFill="1" applyBorder="1"/>
    <xf numFmtId="0" fontId="6" fillId="2" borderId="0" xfId="0" applyFont="1" applyFill="1"/>
    <xf numFmtId="0" fontId="5" fillId="2" borderId="0" xfId="0" applyFont="1" applyFill="1"/>
    <xf numFmtId="0" fontId="0" fillId="2" borderId="6" xfId="0" applyFill="1" applyBorder="1"/>
    <xf numFmtId="0" fontId="0" fillId="0" borderId="0" xfId="0" applyAlignment="1">
      <alignment horizontal="left" wrapText="1"/>
    </xf>
    <xf numFmtId="0" fontId="6" fillId="0" borderId="0" xfId="0" applyFont="1"/>
    <xf numFmtId="0" fontId="6" fillId="4" borderId="2" xfId="0" applyFont="1" applyFill="1" applyBorder="1"/>
    <xf numFmtId="0" fontId="6" fillId="4" borderId="3" xfId="0" applyFont="1" applyFill="1" applyBorder="1"/>
    <xf numFmtId="0" fontId="0" fillId="4" borderId="3" xfId="0" applyFill="1" applyBorder="1"/>
    <xf numFmtId="0" fontId="0" fillId="4" borderId="4" xfId="0" applyFill="1" applyBorder="1"/>
    <xf numFmtId="0" fontId="5" fillId="4" borderId="5" xfId="0" applyFont="1" applyFill="1" applyBorder="1"/>
    <xf numFmtId="0" fontId="6" fillId="4" borderId="0" xfId="0" applyFont="1" applyFill="1"/>
    <xf numFmtId="0" fontId="0" fillId="4" borderId="0" xfId="0" applyFill="1"/>
    <xf numFmtId="0" fontId="0" fillId="4" borderId="6" xfId="0" applyFill="1" applyBorder="1"/>
    <xf numFmtId="0" fontId="6" fillId="0" borderId="5" xfId="0" applyFont="1" applyBorder="1" applyAlignment="1">
      <alignment wrapText="1"/>
    </xf>
    <xf numFmtId="0" fontId="6" fillId="0" borderId="0" xfId="0" applyFont="1" applyAlignment="1">
      <alignment wrapText="1"/>
    </xf>
    <xf numFmtId="0" fontId="7" fillId="0" borderId="0" xfId="0" applyFont="1" applyAlignment="1">
      <alignment wrapText="1"/>
    </xf>
    <xf numFmtId="0" fontId="0" fillId="0" borderId="6" xfId="0" applyBorder="1"/>
    <xf numFmtId="0" fontId="6" fillId="0" borderId="5" xfId="0" applyFont="1" applyBorder="1"/>
    <xf numFmtId="8" fontId="6" fillId="0" borderId="0" xfId="0" applyNumberFormat="1" applyFont="1"/>
    <xf numFmtId="8" fontId="2" fillId="0" borderId="0" xfId="0" applyNumberFormat="1" applyFont="1"/>
    <xf numFmtId="0" fontId="3" fillId="0" borderId="6" xfId="0" applyFont="1" applyBorder="1"/>
    <xf numFmtId="165" fontId="2" fillId="0" borderId="0" xfId="0" applyNumberFormat="1" applyFont="1"/>
    <xf numFmtId="0" fontId="6" fillId="0" borderId="7" xfId="0" applyFont="1" applyBorder="1"/>
    <xf numFmtId="8" fontId="6" fillId="0" borderId="8" xfId="0" applyNumberFormat="1" applyFont="1" applyBorder="1"/>
    <xf numFmtId="0" fontId="0" fillId="0" borderId="8" xfId="0" applyBorder="1"/>
    <xf numFmtId="0" fontId="0" fillId="0" borderId="9" xfId="0" applyBorder="1"/>
    <xf numFmtId="0" fontId="6" fillId="4" borderId="5" xfId="0" applyFont="1" applyFill="1" applyBorder="1"/>
    <xf numFmtId="165" fontId="2" fillId="0" borderId="8" xfId="0" applyNumberFormat="1" applyFont="1" applyBorder="1"/>
    <xf numFmtId="8" fontId="0" fillId="0" borderId="0" xfId="0" applyNumberFormat="1"/>
    <xf numFmtId="0" fontId="0" fillId="0" borderId="13" xfId="0" applyBorder="1"/>
    <xf numFmtId="166" fontId="0" fillId="0" borderId="0" xfId="1" applyNumberFormat="1" applyFont="1"/>
    <xf numFmtId="166" fontId="0" fillId="0" borderId="0" xfId="0" applyNumberFormat="1"/>
    <xf numFmtId="0" fontId="0" fillId="5" borderId="0" xfId="0" applyFill="1"/>
    <xf numFmtId="0" fontId="9" fillId="5" borderId="0" xfId="0" applyFont="1" applyFill="1"/>
    <xf numFmtId="0" fontId="10" fillId="5" borderId="0" xfId="0" applyFont="1" applyFill="1"/>
    <xf numFmtId="0" fontId="10" fillId="5" borderId="0" xfId="0" applyFont="1" applyFill="1" applyAlignment="1">
      <alignment horizontal="right"/>
    </xf>
    <xf numFmtId="166" fontId="10" fillId="5" borderId="1" xfId="0" applyNumberFormat="1" applyFont="1" applyFill="1" applyBorder="1" applyAlignment="1">
      <alignment horizontal="center"/>
    </xf>
    <xf numFmtId="166" fontId="10" fillId="5" borderId="0" xfId="0" applyNumberFormat="1" applyFont="1" applyFill="1" applyAlignment="1">
      <alignment horizontal="center"/>
    </xf>
    <xf numFmtId="0" fontId="9" fillId="5" borderId="14" xfId="0" applyFont="1" applyFill="1" applyBorder="1" applyAlignment="1">
      <alignment horizontal="center"/>
    </xf>
    <xf numFmtId="0" fontId="9" fillId="5" borderId="0" xfId="0" applyFont="1" applyFill="1" applyAlignment="1">
      <alignment horizontal="center"/>
    </xf>
    <xf numFmtId="166" fontId="9" fillId="5" borderId="1" xfId="0" applyNumberFormat="1" applyFont="1" applyFill="1" applyBorder="1" applyAlignment="1">
      <alignment horizontal="center"/>
    </xf>
    <xf numFmtId="0" fontId="10" fillId="5" borderId="15" xfId="0" applyFont="1" applyFill="1" applyBorder="1"/>
    <xf numFmtId="0" fontId="10" fillId="5" borderId="16" xfId="0" applyFont="1" applyFill="1" applyBorder="1"/>
    <xf numFmtId="0" fontId="10" fillId="5" borderId="17" xfId="0" applyFont="1" applyFill="1" applyBorder="1"/>
    <xf numFmtId="0" fontId="10" fillId="5" borderId="18" xfId="0" applyFont="1" applyFill="1" applyBorder="1"/>
    <xf numFmtId="0" fontId="10" fillId="5" borderId="19" xfId="0" applyFont="1" applyFill="1" applyBorder="1"/>
    <xf numFmtId="0" fontId="10" fillId="5" borderId="18" xfId="0" applyFont="1" applyFill="1" applyBorder="1" applyAlignment="1">
      <alignment horizontal="right"/>
    </xf>
    <xf numFmtId="0" fontId="10" fillId="5" borderId="20" xfId="0" applyFont="1" applyFill="1" applyBorder="1" applyAlignment="1">
      <alignment horizontal="right"/>
    </xf>
    <xf numFmtId="0" fontId="10" fillId="5" borderId="14" xfId="0" applyFont="1" applyFill="1" applyBorder="1"/>
    <xf numFmtId="166" fontId="10" fillId="5" borderId="14" xfId="0" applyNumberFormat="1" applyFont="1" applyFill="1" applyBorder="1" applyAlignment="1">
      <alignment horizontal="center"/>
    </xf>
    <xf numFmtId="0" fontId="10" fillId="5" borderId="21" xfId="0" applyFont="1" applyFill="1" applyBorder="1"/>
    <xf numFmtId="0" fontId="12" fillId="5" borderId="0" xfId="0" applyFont="1" applyFill="1" applyAlignment="1">
      <alignment wrapText="1"/>
    </xf>
    <xf numFmtId="166" fontId="10" fillId="0" borderId="1" xfId="0" applyNumberFormat="1" applyFont="1" applyBorder="1" applyAlignment="1">
      <alignment horizontal="center"/>
    </xf>
    <xf numFmtId="166" fontId="10" fillId="0" borderId="0" xfId="0" applyNumberFormat="1" applyFont="1" applyAlignment="1">
      <alignment horizontal="center"/>
    </xf>
    <xf numFmtId="0" fontId="17" fillId="5" borderId="0" xfId="0" applyFont="1" applyFill="1"/>
    <xf numFmtId="0" fontId="15" fillId="5" borderId="0" xfId="0" applyFont="1" applyFill="1"/>
    <xf numFmtId="0" fontId="2" fillId="0" borderId="0" xfId="0" applyFont="1"/>
    <xf numFmtId="166" fontId="10" fillId="6" borderId="1" xfId="0" applyNumberFormat="1" applyFont="1" applyFill="1" applyBorder="1" applyAlignment="1" applyProtection="1">
      <alignment horizontal="center"/>
      <protection locked="0"/>
    </xf>
    <xf numFmtId="0" fontId="10" fillId="2" borderId="1" xfId="0" applyFont="1" applyFill="1" applyBorder="1" applyProtection="1">
      <protection locked="0"/>
    </xf>
    <xf numFmtId="0" fontId="15" fillId="5" borderId="0" xfId="0" applyFont="1" applyFill="1" applyAlignment="1">
      <alignment horizontal="left" wrapText="1"/>
    </xf>
    <xf numFmtId="0" fontId="10" fillId="5" borderId="16" xfId="0" applyFont="1" applyFill="1" applyBorder="1" applyAlignment="1">
      <alignment horizontal="center"/>
    </xf>
    <xf numFmtId="0" fontId="10" fillId="5" borderId="0" xfId="0" applyFont="1" applyFill="1" applyAlignment="1">
      <alignment horizontal="left" wrapText="1"/>
    </xf>
    <xf numFmtId="0" fontId="11" fillId="5" borderId="0" xfId="0" applyFont="1" applyFill="1" applyAlignment="1">
      <alignment horizontal="center" wrapText="1"/>
    </xf>
    <xf numFmtId="0" fontId="11" fillId="5" borderId="14" xfId="0" applyFont="1" applyFill="1" applyBorder="1" applyAlignment="1">
      <alignment horizontal="center" wrapText="1"/>
    </xf>
    <xf numFmtId="0" fontId="9" fillId="5" borderId="0" xfId="0" applyFont="1" applyFill="1" applyAlignment="1">
      <alignment horizontal="left" wrapText="1"/>
    </xf>
    <xf numFmtId="0" fontId="9" fillId="5" borderId="19" xfId="0" applyFont="1" applyFill="1" applyBorder="1" applyAlignment="1">
      <alignment horizontal="left" wrapText="1"/>
    </xf>
    <xf numFmtId="0" fontId="12" fillId="5" borderId="0" xfId="0" applyFont="1" applyFill="1" applyAlignment="1">
      <alignment wrapText="1"/>
    </xf>
    <xf numFmtId="0" fontId="8" fillId="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left"/>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xf>
    <xf numFmtId="0" fontId="0" fillId="0" borderId="12" xfId="0"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116417</xdr:colOff>
      <xdr:row>0</xdr:row>
      <xdr:rowOff>74084</xdr:rowOff>
    </xdr:from>
    <xdr:to>
      <xdr:col>1</xdr:col>
      <xdr:colOff>1622148</xdr:colOff>
      <xdr:row>5</xdr:row>
      <xdr:rowOff>54822</xdr:rowOff>
    </xdr:to>
    <xdr:pic>
      <xdr:nvPicPr>
        <xdr:cNvPr id="3" name="Picture 2">
          <a:extLst>
            <a:ext uri="{FF2B5EF4-FFF2-40B4-BE49-F238E27FC236}">
              <a16:creationId xmlns:a16="http://schemas.microsoft.com/office/drawing/2014/main" id="{4E86BA9A-23D7-C0D1-4CAD-8C3E56ADBCB3}"/>
            </a:ext>
          </a:extLst>
        </xdr:cNvPr>
        <xdr:cNvPicPr>
          <a:picLocks noChangeAspect="1"/>
        </xdr:cNvPicPr>
      </xdr:nvPicPr>
      <xdr:blipFill>
        <a:blip xmlns:r="http://schemas.openxmlformats.org/officeDocument/2006/relationships" r:embed="rId1"/>
        <a:stretch>
          <a:fillRect/>
        </a:stretch>
      </xdr:blipFill>
      <xdr:spPr>
        <a:xfrm>
          <a:off x="116417" y="74084"/>
          <a:ext cx="1650934" cy="8995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11962-BEC7-49A3-975D-D1D95938F765}">
  <sheetPr>
    <pageSetUpPr fitToPage="1"/>
  </sheetPr>
  <dimension ref="A1:L50"/>
  <sheetViews>
    <sheetView showGridLines="0" tabSelected="1" zoomScale="110" zoomScaleNormal="110" workbookViewId="0">
      <selection activeCell="B20" sqref="B20:K20"/>
    </sheetView>
  </sheetViews>
  <sheetFormatPr defaultRowHeight="14.4" x14ac:dyDescent="0.3"/>
  <cols>
    <col min="1" max="1" width="1.88671875" customWidth="1"/>
    <col min="2" max="2" width="26.109375" style="45" customWidth="1"/>
    <col min="3" max="3" width="4.5546875" customWidth="1"/>
    <col min="4" max="4" width="2.109375" customWidth="1"/>
    <col min="5" max="5" width="15.109375" customWidth="1"/>
    <col min="6" max="6" width="1.88671875" customWidth="1"/>
    <col min="7" max="7" width="12.6640625" customWidth="1"/>
    <col min="8" max="8" width="2.109375" style="45" customWidth="1"/>
    <col min="9" max="9" width="12.6640625" customWidth="1"/>
    <col min="10" max="10" width="1.88671875" style="45" customWidth="1"/>
    <col min="11" max="11" width="12.6640625" customWidth="1"/>
    <col min="12" max="12" width="2.5546875" style="45" customWidth="1"/>
  </cols>
  <sheetData>
    <row r="1" spans="1:12" ht="15" customHeight="1" x14ac:dyDescent="0.3">
      <c r="A1" s="46"/>
      <c r="B1" s="47"/>
      <c r="C1" s="47"/>
      <c r="D1" s="47"/>
      <c r="E1" s="75" t="s">
        <v>98</v>
      </c>
      <c r="F1" s="75"/>
      <c r="G1" s="75"/>
      <c r="H1" s="75"/>
      <c r="I1" s="75"/>
      <c r="J1" s="75"/>
      <c r="K1" s="75"/>
      <c r="L1" s="75"/>
    </row>
    <row r="2" spans="1:12" ht="15" thickBot="1" x14ac:dyDescent="0.35">
      <c r="A2" s="47"/>
      <c r="B2" s="47"/>
      <c r="C2" s="47"/>
      <c r="D2" s="47"/>
      <c r="E2" s="76"/>
      <c r="F2" s="76"/>
      <c r="G2" s="76"/>
      <c r="H2" s="76"/>
      <c r="I2" s="76"/>
      <c r="J2" s="76"/>
      <c r="K2" s="76"/>
      <c r="L2" s="76"/>
    </row>
    <row r="3" spans="1:12" x14ac:dyDescent="0.3">
      <c r="A3" s="47"/>
      <c r="B3" s="47"/>
      <c r="C3" s="47"/>
      <c r="D3" s="47"/>
      <c r="E3" s="54"/>
      <c r="F3" s="55"/>
      <c r="G3" s="73" t="s">
        <v>90</v>
      </c>
      <c r="H3" s="73"/>
      <c r="I3" s="73"/>
      <c r="J3" s="73"/>
      <c r="K3" s="73"/>
      <c r="L3" s="56"/>
    </row>
    <row r="4" spans="1:12" ht="15" thickBot="1" x14ac:dyDescent="0.35">
      <c r="A4" s="47"/>
      <c r="B4" s="47"/>
      <c r="C4" s="47"/>
      <c r="D4" s="47"/>
      <c r="E4" s="57"/>
      <c r="F4" s="47"/>
      <c r="G4" s="47" t="s">
        <v>15</v>
      </c>
      <c r="H4" s="47"/>
      <c r="I4" s="47" t="s">
        <v>17</v>
      </c>
      <c r="J4" s="47"/>
      <c r="K4" s="47" t="s">
        <v>89</v>
      </c>
      <c r="L4" s="58"/>
    </row>
    <row r="5" spans="1:12" ht="15" thickBot="1" x14ac:dyDescent="0.35">
      <c r="A5" s="47"/>
      <c r="B5" s="47"/>
      <c r="C5" s="47"/>
      <c r="D5" s="48"/>
      <c r="E5" s="59" t="s">
        <v>42</v>
      </c>
      <c r="F5" s="47"/>
      <c r="G5" s="65">
        <f>'Sheet 2 - FY27'!T16</f>
        <v>186</v>
      </c>
      <c r="H5" s="66"/>
      <c r="I5" s="65">
        <f>'Sheet 2 - FY27'!T23</f>
        <v>53</v>
      </c>
      <c r="J5" s="66"/>
      <c r="K5" s="65">
        <f>'Sheet 2 - FY27'!T30</f>
        <v>0</v>
      </c>
      <c r="L5" s="58"/>
    </row>
    <row r="6" spans="1:12" ht="15" thickBot="1" x14ac:dyDescent="0.35">
      <c r="A6" s="47"/>
      <c r="B6" s="47"/>
      <c r="C6" s="47"/>
      <c r="D6" s="48"/>
      <c r="E6" s="59" t="s">
        <v>53</v>
      </c>
      <c r="F6" s="47"/>
      <c r="G6" s="70">
        <f>'Sheet 2 - FY27'!T17</f>
        <v>1498</v>
      </c>
      <c r="H6" s="47"/>
      <c r="I6" s="70">
        <f>'Sheet 2 - FY27'!T24</f>
        <v>1068</v>
      </c>
      <c r="J6" s="47"/>
      <c r="K6" s="70">
        <f>'Sheet 2 - FY27'!T31</f>
        <v>901</v>
      </c>
      <c r="L6" s="58"/>
    </row>
    <row r="7" spans="1:12" ht="15" thickBot="1" x14ac:dyDescent="0.35">
      <c r="A7" s="47"/>
      <c r="C7" s="45"/>
      <c r="D7" s="48"/>
      <c r="E7" s="59" t="s">
        <v>43</v>
      </c>
      <c r="F7" s="47"/>
      <c r="G7" s="70">
        <f>'Sheet 2 - FY27'!T18</f>
        <v>2201</v>
      </c>
      <c r="H7" s="47"/>
      <c r="I7" s="70">
        <f>'Sheet 2 - FY27'!T25</f>
        <v>1666</v>
      </c>
      <c r="J7" s="47"/>
      <c r="K7" s="70">
        <f>'Sheet 2 - FY27'!T32</f>
        <v>1457</v>
      </c>
      <c r="L7" s="58"/>
    </row>
    <row r="8" spans="1:12" ht="15" thickBot="1" x14ac:dyDescent="0.35">
      <c r="A8" s="47"/>
      <c r="B8" s="67" t="s">
        <v>94</v>
      </c>
      <c r="C8" s="45"/>
      <c r="D8" s="48"/>
      <c r="E8" s="60"/>
      <c r="F8" s="61"/>
      <c r="G8" s="62"/>
      <c r="H8" s="61"/>
      <c r="I8" s="62"/>
      <c r="J8" s="61"/>
      <c r="K8" s="62"/>
      <c r="L8" s="63"/>
    </row>
    <row r="9" spans="1:12" ht="17.25" customHeight="1" x14ac:dyDescent="0.3">
      <c r="A9" s="47"/>
      <c r="B9" s="68" t="s">
        <v>101</v>
      </c>
      <c r="C9" s="47"/>
      <c r="D9" s="47"/>
      <c r="E9" s="47"/>
      <c r="F9" s="47"/>
      <c r="G9" s="47"/>
      <c r="H9" s="47"/>
      <c r="I9" s="47"/>
      <c r="J9" s="47"/>
      <c r="K9" s="47"/>
      <c r="L9" s="47"/>
    </row>
    <row r="10" spans="1:12" x14ac:dyDescent="0.3">
      <c r="A10" s="47"/>
      <c r="B10" s="68" t="s">
        <v>93</v>
      </c>
      <c r="C10" s="47"/>
      <c r="D10" s="47"/>
      <c r="E10" s="47"/>
      <c r="F10" s="47"/>
      <c r="G10" s="47"/>
      <c r="H10" s="47"/>
      <c r="I10" s="47"/>
      <c r="J10" s="47"/>
      <c r="K10" s="47"/>
      <c r="L10" s="47"/>
    </row>
    <row r="11" spans="1:12" s="69" customFormat="1" x14ac:dyDescent="0.3">
      <c r="A11" s="68"/>
      <c r="B11" s="68" t="s">
        <v>95</v>
      </c>
      <c r="C11" s="68"/>
      <c r="D11" s="68"/>
      <c r="E11" s="68"/>
      <c r="F11" s="68"/>
      <c r="G11" s="68"/>
      <c r="H11" s="68"/>
      <c r="I11" s="68"/>
      <c r="J11" s="68"/>
      <c r="K11" s="68"/>
      <c r="L11" s="68"/>
    </row>
    <row r="12" spans="1:12" ht="19.5" customHeight="1" x14ac:dyDescent="0.35">
      <c r="A12" s="80" t="s">
        <v>73</v>
      </c>
      <c r="B12" s="80"/>
      <c r="C12" s="80"/>
      <c r="D12" s="80"/>
      <c r="E12" s="80"/>
      <c r="F12" s="80"/>
      <c r="G12" s="80"/>
      <c r="H12" s="80"/>
      <c r="I12" s="80"/>
      <c r="J12" s="80"/>
      <c r="K12" s="80"/>
      <c r="L12" s="80"/>
    </row>
    <row r="13" spans="1:12" ht="18" x14ac:dyDescent="0.35">
      <c r="A13" s="80" t="s">
        <v>105</v>
      </c>
      <c r="B13" s="80"/>
      <c r="C13" s="80"/>
      <c r="D13" s="80"/>
      <c r="E13" s="80"/>
      <c r="F13" s="80"/>
      <c r="G13" s="80"/>
      <c r="H13" s="80"/>
      <c r="I13" s="80"/>
      <c r="J13" s="80"/>
      <c r="K13" s="80"/>
      <c r="L13" s="80"/>
    </row>
    <row r="14" spans="1:12" ht="15" thickBot="1" x14ac:dyDescent="0.35">
      <c r="A14" s="47"/>
      <c r="B14" s="47"/>
      <c r="C14" s="47"/>
      <c r="D14" s="47"/>
      <c r="E14" s="47"/>
      <c r="F14" s="47"/>
      <c r="G14" s="47"/>
      <c r="H14" s="47"/>
      <c r="I14" s="47"/>
      <c r="J14" s="47"/>
      <c r="K14" s="47"/>
      <c r="L14" s="47"/>
    </row>
    <row r="15" spans="1:12" ht="15" thickBot="1" x14ac:dyDescent="0.35">
      <c r="A15" s="47"/>
      <c r="B15" s="46" t="s">
        <v>91</v>
      </c>
      <c r="C15" s="47"/>
      <c r="D15" s="47"/>
      <c r="E15" s="71" t="s">
        <v>42</v>
      </c>
      <c r="F15" s="47"/>
      <c r="G15" s="51" t="s">
        <v>15</v>
      </c>
      <c r="H15" s="52"/>
      <c r="I15" s="51" t="s">
        <v>17</v>
      </c>
      <c r="J15" s="52"/>
      <c r="K15" s="51" t="s">
        <v>89</v>
      </c>
      <c r="L15" s="47"/>
    </row>
    <row r="16" spans="1:12" ht="18" customHeight="1" x14ac:dyDescent="0.3">
      <c r="A16" s="47"/>
      <c r="B16" s="79" t="s">
        <v>96</v>
      </c>
      <c r="C16" s="79"/>
      <c r="D16" s="79"/>
      <c r="E16" s="79"/>
      <c r="F16" s="47"/>
      <c r="G16" s="47" t="str">
        <f>IF(E15='Sheet 2 - FY27'!$K$4,"$500 deductible","$1,000 deductible")</f>
        <v>$500 deductible</v>
      </c>
      <c r="H16" s="47"/>
      <c r="I16" s="47" t="str">
        <f>IF($E$15='Sheet 2 - FY27'!$K$4,"$1,500 deductible","$3,000 deductible")</f>
        <v>$1,500 deductible</v>
      </c>
      <c r="J16" s="47"/>
      <c r="K16" s="47" t="str">
        <f>IF($E$15='Sheet 2 - FY27'!$K$4,"$2,000 deductible","$4,000 deductible")</f>
        <v>$2,000 deductible</v>
      </c>
      <c r="L16" s="47"/>
    </row>
    <row r="17" spans="1:12" ht="18" customHeight="1" x14ac:dyDescent="0.3">
      <c r="A17" s="47"/>
      <c r="B17" s="79"/>
      <c r="C17" s="79"/>
      <c r="D17" s="79"/>
      <c r="E17" s="79"/>
      <c r="F17" s="47"/>
      <c r="G17" s="47" t="s">
        <v>83</v>
      </c>
      <c r="H17" s="47"/>
      <c r="I17" s="47" t="s">
        <v>82</v>
      </c>
      <c r="J17" s="47"/>
      <c r="K17" s="47" t="s">
        <v>84</v>
      </c>
      <c r="L17" s="47"/>
    </row>
    <row r="18" spans="1:12" ht="18" customHeight="1" x14ac:dyDescent="0.3">
      <c r="A18" s="47"/>
      <c r="B18" s="64"/>
      <c r="C18" s="64"/>
      <c r="D18" s="64"/>
      <c r="E18" s="64"/>
      <c r="F18" s="47"/>
      <c r="G18" s="47"/>
      <c r="H18" s="47"/>
      <c r="I18" s="47"/>
      <c r="J18" s="47"/>
      <c r="K18" s="47"/>
      <c r="L18" s="47"/>
    </row>
    <row r="19" spans="1:12" x14ac:dyDescent="0.3">
      <c r="A19" s="47"/>
      <c r="B19" s="46" t="s">
        <v>1</v>
      </c>
      <c r="C19" s="47"/>
      <c r="D19" s="47"/>
      <c r="E19" s="47"/>
      <c r="F19" s="47"/>
      <c r="G19" s="47"/>
      <c r="H19" s="47"/>
      <c r="I19" s="47"/>
      <c r="J19" s="47"/>
      <c r="K19" s="47"/>
      <c r="L19" s="47"/>
    </row>
    <row r="20" spans="1:12" ht="28.2" customHeight="1" x14ac:dyDescent="0.3">
      <c r="A20" s="47"/>
      <c r="B20" s="74" t="s">
        <v>97</v>
      </c>
      <c r="C20" s="74"/>
      <c r="D20" s="74"/>
      <c r="E20" s="74"/>
      <c r="F20" s="74"/>
      <c r="G20" s="74"/>
      <c r="H20" s="74"/>
      <c r="I20" s="74"/>
      <c r="J20" s="74"/>
      <c r="K20" s="74"/>
      <c r="L20" s="47"/>
    </row>
    <row r="21" spans="1:12" ht="6" customHeight="1" thickBot="1" x14ac:dyDescent="0.35">
      <c r="A21" s="47"/>
      <c r="B21" s="47"/>
      <c r="C21" s="47"/>
      <c r="D21" s="47"/>
      <c r="E21" s="47"/>
      <c r="F21" s="47"/>
      <c r="G21" s="47"/>
      <c r="H21" s="47"/>
      <c r="I21" s="47"/>
      <c r="J21" s="47"/>
      <c r="K21" s="47"/>
      <c r="L21" s="47"/>
    </row>
    <row r="22" spans="1:12" ht="15" thickBot="1" x14ac:dyDescent="0.35">
      <c r="A22" s="47"/>
      <c r="B22" s="47" t="s">
        <v>6</v>
      </c>
      <c r="C22" s="47"/>
      <c r="D22" s="47"/>
      <c r="E22" s="71" t="s">
        <v>3</v>
      </c>
      <c r="F22" s="47"/>
      <c r="G22" s="47" t="s">
        <v>74</v>
      </c>
      <c r="H22" s="47"/>
      <c r="I22" s="47" t="s">
        <v>75</v>
      </c>
      <c r="J22" s="47"/>
      <c r="K22" s="47" t="s">
        <v>76</v>
      </c>
      <c r="L22" s="47"/>
    </row>
    <row r="23" spans="1:12" s="45" customFormat="1" ht="6.6" customHeight="1" thickBot="1" x14ac:dyDescent="0.35">
      <c r="A23" s="47"/>
      <c r="B23" s="47"/>
      <c r="C23" s="47"/>
      <c r="D23" s="47"/>
      <c r="E23" s="47"/>
      <c r="F23" s="47"/>
      <c r="G23" s="47"/>
      <c r="H23" s="47"/>
      <c r="I23" s="47"/>
      <c r="J23" s="47"/>
      <c r="K23" s="47"/>
      <c r="L23" s="47"/>
    </row>
    <row r="24" spans="1:12" ht="15" thickBot="1" x14ac:dyDescent="0.35">
      <c r="A24" s="47"/>
      <c r="B24" s="47" t="s">
        <v>92</v>
      </c>
      <c r="C24" s="47"/>
      <c r="D24" s="47"/>
      <c r="E24" s="71" t="s">
        <v>3</v>
      </c>
      <c r="F24" s="47"/>
      <c r="G24" s="47" t="s">
        <v>82</v>
      </c>
      <c r="H24" s="47"/>
      <c r="I24" s="47" t="s">
        <v>82</v>
      </c>
      <c r="J24" s="47"/>
      <c r="K24" s="47" t="s">
        <v>76</v>
      </c>
      <c r="L24" s="47"/>
    </row>
    <row r="25" spans="1:12" s="45" customFormat="1" ht="6.6" customHeight="1" thickBot="1" x14ac:dyDescent="0.35">
      <c r="A25" s="47"/>
      <c r="B25" s="47"/>
      <c r="C25" s="47"/>
      <c r="D25" s="47"/>
      <c r="E25" s="47"/>
      <c r="F25" s="47"/>
      <c r="G25" s="47"/>
      <c r="H25" s="47"/>
      <c r="I25" s="47"/>
      <c r="J25" s="47"/>
      <c r="K25" s="47"/>
      <c r="L25" s="47"/>
    </row>
    <row r="26" spans="1:12" ht="15" thickBot="1" x14ac:dyDescent="0.35">
      <c r="A26" s="47"/>
      <c r="B26" s="47" t="s">
        <v>9</v>
      </c>
      <c r="C26" s="47"/>
      <c r="D26" s="47"/>
      <c r="E26" s="71" t="s">
        <v>3</v>
      </c>
      <c r="F26" s="47"/>
      <c r="G26" s="47" t="s">
        <v>77</v>
      </c>
      <c r="H26" s="47"/>
      <c r="I26" s="47" t="s">
        <v>78</v>
      </c>
      <c r="J26" s="47"/>
      <c r="K26" s="47" t="s">
        <v>76</v>
      </c>
      <c r="L26" s="47"/>
    </row>
    <row r="27" spans="1:12" s="45" customFormat="1" ht="6.6" customHeight="1" thickBot="1" x14ac:dyDescent="0.35">
      <c r="A27" s="47"/>
      <c r="B27" s="47"/>
      <c r="C27" s="47"/>
      <c r="D27" s="47"/>
      <c r="E27" s="47"/>
      <c r="F27" s="47"/>
      <c r="G27" s="47"/>
      <c r="H27" s="47"/>
      <c r="I27" s="47"/>
      <c r="J27" s="47"/>
      <c r="K27" s="47"/>
      <c r="L27" s="47"/>
    </row>
    <row r="28" spans="1:12" ht="15" thickBot="1" x14ac:dyDescent="0.35">
      <c r="A28" s="47"/>
      <c r="B28" s="47" t="s">
        <v>66</v>
      </c>
      <c r="C28" s="47"/>
      <c r="D28" s="47"/>
      <c r="E28" s="71" t="s">
        <v>3</v>
      </c>
      <c r="F28" s="47"/>
      <c r="G28" s="47" t="s">
        <v>78</v>
      </c>
      <c r="H28" s="47"/>
      <c r="I28" s="47" t="s">
        <v>80</v>
      </c>
      <c r="J28" s="47"/>
      <c r="K28" s="47" t="s">
        <v>76</v>
      </c>
      <c r="L28" s="47"/>
    </row>
    <row r="29" spans="1:12" s="45" customFormat="1" ht="6.6" customHeight="1" thickBot="1" x14ac:dyDescent="0.35">
      <c r="A29" s="47"/>
      <c r="B29" s="47"/>
      <c r="C29" s="47"/>
      <c r="D29" s="47"/>
      <c r="E29" s="47"/>
      <c r="F29" s="47"/>
      <c r="G29" s="47"/>
      <c r="H29" s="47"/>
      <c r="I29" s="47"/>
      <c r="J29" s="47"/>
      <c r="K29" s="47"/>
      <c r="L29" s="47"/>
    </row>
    <row r="30" spans="1:12" ht="15" thickBot="1" x14ac:dyDescent="0.35">
      <c r="A30" s="47"/>
      <c r="B30" s="47" t="s">
        <v>67</v>
      </c>
      <c r="C30" s="47"/>
      <c r="D30" s="47"/>
      <c r="E30" s="71" t="s">
        <v>3</v>
      </c>
      <c r="F30" s="47"/>
      <c r="G30" s="47" t="s">
        <v>79</v>
      </c>
      <c r="H30" s="47"/>
      <c r="I30" s="47" t="s">
        <v>81</v>
      </c>
      <c r="J30" s="47"/>
      <c r="K30" s="47" t="s">
        <v>76</v>
      </c>
      <c r="L30" s="47"/>
    </row>
    <row r="31" spans="1:12" s="45" customFormat="1" ht="6.6" customHeight="1" thickBot="1" x14ac:dyDescent="0.35">
      <c r="A31" s="47"/>
      <c r="B31" s="47"/>
      <c r="C31" s="47"/>
      <c r="D31" s="47"/>
      <c r="E31" s="47"/>
      <c r="F31" s="47"/>
      <c r="G31" s="47"/>
      <c r="H31" s="47"/>
      <c r="I31" s="47"/>
      <c r="J31" s="47"/>
      <c r="K31" s="47"/>
      <c r="L31" s="47"/>
    </row>
    <row r="32" spans="1:12" ht="15" thickBot="1" x14ac:dyDescent="0.35">
      <c r="A32" s="47"/>
      <c r="B32" s="47" t="s">
        <v>40</v>
      </c>
      <c r="C32" s="47"/>
      <c r="D32" s="47"/>
      <c r="E32" s="71" t="s">
        <v>3</v>
      </c>
      <c r="F32" s="47"/>
      <c r="G32" s="47" t="s">
        <v>76</v>
      </c>
      <c r="H32" s="47"/>
      <c r="I32" s="47" t="s">
        <v>76</v>
      </c>
      <c r="J32" s="47"/>
      <c r="K32" s="47" t="s">
        <v>76</v>
      </c>
      <c r="L32" s="47"/>
    </row>
    <row r="33" spans="1:12" s="45" customFormat="1" ht="6.6" customHeight="1" thickBot="1" x14ac:dyDescent="0.35">
      <c r="A33" s="47"/>
      <c r="B33" s="47"/>
      <c r="C33" s="47"/>
      <c r="D33" s="47"/>
      <c r="E33" s="47"/>
      <c r="F33" s="47"/>
      <c r="G33" s="47"/>
      <c r="H33" s="47"/>
      <c r="I33" s="47"/>
      <c r="J33" s="47"/>
      <c r="K33" s="47"/>
      <c r="L33" s="47"/>
    </row>
    <row r="34" spans="1:12" ht="15" thickBot="1" x14ac:dyDescent="0.35">
      <c r="A34" s="47"/>
      <c r="B34" s="47" t="s">
        <v>68</v>
      </c>
      <c r="C34" s="47"/>
      <c r="D34" s="47"/>
      <c r="E34" s="71" t="s">
        <v>3</v>
      </c>
      <c r="F34" s="47"/>
      <c r="G34" s="47" t="s">
        <v>76</v>
      </c>
      <c r="H34" s="47"/>
      <c r="I34" s="47" t="s">
        <v>76</v>
      </c>
      <c r="J34" s="47"/>
      <c r="K34" s="47" t="s">
        <v>76</v>
      </c>
      <c r="L34" s="47"/>
    </row>
    <row r="35" spans="1:12" s="45" customFormat="1" x14ac:dyDescent="0.3">
      <c r="A35" s="47"/>
      <c r="B35" s="47"/>
      <c r="C35" s="47"/>
      <c r="D35" s="47"/>
      <c r="E35" s="47"/>
      <c r="F35" s="47"/>
      <c r="G35" s="47"/>
      <c r="H35" s="47"/>
      <c r="I35" s="47"/>
      <c r="J35" s="47"/>
      <c r="K35" s="47"/>
      <c r="L35" s="47"/>
    </row>
    <row r="36" spans="1:12" ht="15" thickBot="1" x14ac:dyDescent="0.35">
      <c r="A36" s="47"/>
      <c r="B36" s="46" t="s">
        <v>0</v>
      </c>
      <c r="C36" s="47"/>
      <c r="D36" s="47"/>
      <c r="E36" s="47"/>
      <c r="F36" s="47"/>
      <c r="G36" s="51" t="s">
        <v>15</v>
      </c>
      <c r="H36" s="52"/>
      <c r="I36" s="51" t="s">
        <v>17</v>
      </c>
      <c r="J36" s="52"/>
      <c r="K36" s="51" t="s">
        <v>89</v>
      </c>
      <c r="L36" s="47"/>
    </row>
    <row r="37" spans="1:12" ht="15" thickBot="1" x14ac:dyDescent="0.35">
      <c r="A37" s="47"/>
      <c r="B37" s="47"/>
      <c r="C37" s="47"/>
      <c r="D37" s="47"/>
      <c r="E37" s="47"/>
      <c r="F37" s="47"/>
      <c r="G37" s="47"/>
      <c r="H37" s="47"/>
      <c r="I37" s="47"/>
      <c r="J37" s="47"/>
      <c r="K37" s="47"/>
      <c r="L37" s="47"/>
    </row>
    <row r="38" spans="1:12" ht="15" thickBot="1" x14ac:dyDescent="0.35">
      <c r="A38" s="47"/>
      <c r="B38" s="47" t="s">
        <v>2</v>
      </c>
      <c r="C38" s="47"/>
      <c r="D38" s="47"/>
      <c r="E38" s="47"/>
      <c r="F38" s="47"/>
      <c r="G38" s="49">
        <f>VLOOKUP($E$15,$E$5:$K$7,COLUMNS($E5:G5),FALSE)*12</f>
        <v>2232</v>
      </c>
      <c r="H38" s="50"/>
      <c r="I38" s="49">
        <f>VLOOKUP($E$15,$E$5:$K$7,COLUMNS($E5:I5),FALSE)*12</f>
        <v>636</v>
      </c>
      <c r="J38" s="50"/>
      <c r="K38" s="49">
        <f>VLOOKUP($E$15,$E$5:$K$7,COLUMNS($E5:K5),FALSE)*12</f>
        <v>0</v>
      </c>
      <c r="L38" s="47"/>
    </row>
    <row r="39" spans="1:12" s="45" customFormat="1" ht="15" thickBot="1" x14ac:dyDescent="0.35">
      <c r="A39" s="47"/>
      <c r="B39" s="47"/>
      <c r="C39" s="47"/>
      <c r="D39" s="47"/>
      <c r="E39" s="47"/>
      <c r="F39" s="47"/>
      <c r="G39" s="50"/>
      <c r="H39" s="50"/>
      <c r="I39" s="50"/>
      <c r="J39" s="50"/>
      <c r="K39" s="50"/>
      <c r="L39" s="47"/>
    </row>
    <row r="40" spans="1:12" ht="15" thickBot="1" x14ac:dyDescent="0.35">
      <c r="A40" s="47"/>
      <c r="B40" s="47" t="s">
        <v>99</v>
      </c>
      <c r="C40" s="47"/>
      <c r="D40" s="47"/>
      <c r="E40" s="47"/>
      <c r="F40" s="47"/>
      <c r="G40" s="49">
        <f>MIN('Sheet 2 - FY27'!$C$115,'Sheet 2 - FY27'!$U$52)</f>
        <v>0</v>
      </c>
      <c r="H40" s="50"/>
      <c r="I40" s="49">
        <f>MIN('Sheet 2 - FY27'!$D$115,'Sheet 2 - FY27'!$U$53)</f>
        <v>0</v>
      </c>
      <c r="J40" s="50"/>
      <c r="K40" s="49">
        <f>MIN('Sheet 2 - FY27'!$E$115,'Sheet 2 - FY27'!$U$54)</f>
        <v>0</v>
      </c>
      <c r="L40" s="47"/>
    </row>
    <row r="41" spans="1:12" ht="15" thickBot="1" x14ac:dyDescent="0.35">
      <c r="A41" s="47"/>
      <c r="B41" s="47"/>
      <c r="C41" s="47"/>
      <c r="D41" s="47"/>
      <c r="E41" s="47"/>
      <c r="F41" s="47"/>
      <c r="G41" s="47"/>
      <c r="H41" s="47"/>
      <c r="I41" s="47"/>
      <c r="J41" s="47"/>
      <c r="K41" s="47"/>
      <c r="L41" s="47"/>
    </row>
    <row r="42" spans="1:12" ht="46.2" customHeight="1" thickBot="1" x14ac:dyDescent="0.35">
      <c r="A42" s="47"/>
      <c r="B42" s="77" t="s">
        <v>106</v>
      </c>
      <c r="C42" s="77"/>
      <c r="D42" s="77"/>
      <c r="E42" s="77"/>
      <c r="F42" s="78"/>
      <c r="G42" s="53">
        <f>G40+G38</f>
        <v>2232</v>
      </c>
      <c r="H42" s="47"/>
      <c r="I42" s="53">
        <f>I40+I38</f>
        <v>636</v>
      </c>
      <c r="J42" s="47"/>
      <c r="K42" s="53">
        <f>K40+K38</f>
        <v>0</v>
      </c>
      <c r="L42" s="47"/>
    </row>
    <row r="43" spans="1:12" x14ac:dyDescent="0.3">
      <c r="A43" s="47"/>
      <c r="B43" s="47"/>
      <c r="C43" s="47"/>
      <c r="D43" s="47"/>
      <c r="E43" s="47"/>
      <c r="F43" s="47"/>
      <c r="G43" s="47"/>
      <c r="H43" s="47"/>
      <c r="I43" s="47"/>
      <c r="J43" s="47"/>
      <c r="K43" s="47"/>
      <c r="L43" s="47"/>
    </row>
    <row r="44" spans="1:12" ht="14.4" customHeight="1" x14ac:dyDescent="0.3">
      <c r="A44" s="47"/>
      <c r="B44" s="72" t="s">
        <v>100</v>
      </c>
      <c r="C44" s="72"/>
      <c r="D44" s="72"/>
      <c r="E44" s="72"/>
      <c r="F44" s="72"/>
      <c r="G44" s="72"/>
      <c r="H44" s="72"/>
      <c r="I44" s="72"/>
      <c r="J44" s="72"/>
      <c r="K44" s="72"/>
      <c r="L44" s="47"/>
    </row>
    <row r="45" spans="1:12" x14ac:dyDescent="0.3">
      <c r="A45" s="47"/>
      <c r="B45" s="72"/>
      <c r="C45" s="72"/>
      <c r="D45" s="72"/>
      <c r="E45" s="72"/>
      <c r="F45" s="72"/>
      <c r="G45" s="72"/>
      <c r="H45" s="72"/>
      <c r="I45" s="72"/>
      <c r="J45" s="72"/>
      <c r="K45" s="72"/>
      <c r="L45" s="47"/>
    </row>
    <row r="46" spans="1:12" x14ac:dyDescent="0.3">
      <c r="A46" s="47"/>
      <c r="B46" s="72"/>
      <c r="C46" s="72"/>
      <c r="D46" s="72"/>
      <c r="E46" s="72"/>
      <c r="F46" s="72"/>
      <c r="G46" s="72"/>
      <c r="H46" s="72"/>
      <c r="I46" s="72"/>
      <c r="J46" s="72"/>
      <c r="K46" s="72"/>
      <c r="L46" s="47"/>
    </row>
    <row r="47" spans="1:12" x14ac:dyDescent="0.3">
      <c r="A47" s="47"/>
      <c r="B47" s="72"/>
      <c r="C47" s="72"/>
      <c r="D47" s="72"/>
      <c r="E47" s="72"/>
      <c r="F47" s="72"/>
      <c r="G47" s="72"/>
      <c r="H47" s="72"/>
      <c r="I47" s="72"/>
      <c r="J47" s="72"/>
      <c r="K47" s="72"/>
      <c r="L47" s="47"/>
    </row>
    <row r="48" spans="1:12" x14ac:dyDescent="0.3">
      <c r="A48" s="47"/>
      <c r="B48" s="47"/>
      <c r="C48" s="47"/>
      <c r="D48" s="47"/>
      <c r="E48" s="47"/>
      <c r="F48" s="47"/>
      <c r="G48" s="47"/>
      <c r="H48" s="47"/>
      <c r="I48" s="47"/>
      <c r="J48" s="47"/>
      <c r="K48" s="47"/>
      <c r="L48" s="47"/>
    </row>
    <row r="49" spans="1:12" x14ac:dyDescent="0.3">
      <c r="A49" s="47"/>
      <c r="B49" s="47"/>
      <c r="C49" s="47"/>
      <c r="D49" s="47"/>
      <c r="E49" s="47"/>
      <c r="F49" s="47" t="s">
        <v>72</v>
      </c>
      <c r="G49" s="47"/>
      <c r="H49" s="47"/>
      <c r="I49" s="47"/>
      <c r="J49" s="47"/>
      <c r="K49" s="47"/>
      <c r="L49" s="47"/>
    </row>
    <row r="50" spans="1:12" x14ac:dyDescent="0.3">
      <c r="A50" s="45"/>
      <c r="C50" s="45"/>
      <c r="D50" s="45"/>
      <c r="E50" s="45"/>
      <c r="G50" s="45"/>
      <c r="I50" s="45"/>
      <c r="K50" s="45"/>
    </row>
  </sheetData>
  <sheetProtection algorithmName="SHA-512" hashValue="01TZra6zrLVSR1Oo7G/E3KCpCDMFf/dBUzzOpkifd8Oixk2kGCyGCbxcr3klHW3/Wn4E1DXId2nY+HlZBDimEQ==" saltValue="xq7a9/B3x0Bj5Yza+f7wRg==" spinCount="100000" sheet="1" objects="1" scenarios="1"/>
  <mergeCells count="8">
    <mergeCell ref="B44:K47"/>
    <mergeCell ref="G3:K3"/>
    <mergeCell ref="B20:K20"/>
    <mergeCell ref="E1:L2"/>
    <mergeCell ref="B42:F42"/>
    <mergeCell ref="B16:E17"/>
    <mergeCell ref="A12:L12"/>
    <mergeCell ref="A13:L13"/>
  </mergeCells>
  <pageMargins left="0.45" right="0.45" top="0.5" bottom="0.5" header="0.3" footer="0.3"/>
  <pageSetup scale="94"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477B786F-E20E-4B08-A511-78AACA6124C8}">
          <x14:formula1>
            <xm:f>'Sheet 2 - FY27'!$Q$35:$Q$37</xm:f>
          </x14:formula1>
          <xm:sqref>E15</xm:sqref>
        </x14:dataValidation>
        <x14:dataValidation type="list" allowBlank="1" showInputMessage="1" showErrorMessage="1" xr:uid="{AD0E05C6-9F5D-44A2-846E-2AF7E9DAA1AB}">
          <x14:formula1>
            <xm:f>'Sheet 2 - FY27'!$B$10:$B$20</xm:f>
          </x14:formula1>
          <xm:sqref>E22</xm:sqref>
        </x14:dataValidation>
        <x14:dataValidation type="list" allowBlank="1" showInputMessage="1" showErrorMessage="1" xr:uid="{00878953-76CF-4E00-A10D-D82227473A4E}">
          <x14:formula1>
            <xm:f>'Sheet 2 - FY27'!$B$29:$B$33</xm:f>
          </x14:formula1>
          <xm:sqref>E24</xm:sqref>
        </x14:dataValidation>
        <x14:dataValidation type="list" allowBlank="1" showInputMessage="1" showErrorMessage="1" xr:uid="{736BA8D6-D186-4828-B8EC-7E01DD58A3CB}">
          <x14:formula1>
            <xm:f>'Sheet 2 - FY27'!$B$42:$B$46</xm:f>
          </x14:formula1>
          <xm:sqref>E26</xm:sqref>
        </x14:dataValidation>
        <x14:dataValidation type="list" allowBlank="1" showInputMessage="1" showErrorMessage="1" xr:uid="{532624BB-BE38-4231-860D-C591014BF4F4}">
          <x14:formula1>
            <xm:f>'Sheet 2 - FY27'!$B$55:$B$59</xm:f>
          </x14:formula1>
          <xm:sqref>E28</xm:sqref>
        </x14:dataValidation>
        <x14:dataValidation type="list" allowBlank="1" showInputMessage="1" showErrorMessage="1" xr:uid="{21C159D3-18A8-495A-B8F3-DFAAA27E0C9A}">
          <x14:formula1>
            <xm:f>'Sheet 2 - FY27'!$B$68:$B$71</xm:f>
          </x14:formula1>
          <xm:sqref>E30 E34</xm:sqref>
        </x14:dataValidation>
        <x14:dataValidation type="list" allowBlank="1" showInputMessage="1" showErrorMessage="1" xr:uid="{6534EDEC-69E8-4309-A76D-13889FBF9843}">
          <x14:formula1>
            <xm:f>'Sheet 2 - FY27'!$B$81:$B$84</xm:f>
          </x14:formula1>
          <xm:sqref>E32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5BF6B-7D0B-4384-B1A5-939248CBD88D}">
  <dimension ref="A2:W116"/>
  <sheetViews>
    <sheetView topLeftCell="F5" workbookViewId="0">
      <selection activeCell="S31" sqref="S31:T31"/>
    </sheetView>
  </sheetViews>
  <sheetFormatPr defaultRowHeight="14.4" x14ac:dyDescent="0.3"/>
  <cols>
    <col min="2" max="2" width="15.6640625" customWidth="1"/>
    <col min="3" max="3" width="13.21875" customWidth="1"/>
    <col min="4" max="4" width="10.33203125" customWidth="1"/>
    <col min="5" max="5" width="11.6640625" customWidth="1"/>
    <col min="6" max="6" width="17.5546875" bestFit="1" customWidth="1"/>
    <col min="7" max="7" width="70.88671875" customWidth="1"/>
    <col min="17" max="17" width="23.44140625" customWidth="1"/>
    <col min="18" max="23" width="11.5546875" customWidth="1"/>
    <col min="25" max="25" width="62.88671875" customWidth="1"/>
  </cols>
  <sheetData>
    <row r="2" spans="2:23" ht="15" thickBot="1" x14ac:dyDescent="0.35">
      <c r="F2" t="s">
        <v>14</v>
      </c>
    </row>
    <row r="3" spans="2:23" ht="15" thickBot="1" x14ac:dyDescent="0.35">
      <c r="K3" t="s">
        <v>41</v>
      </c>
      <c r="L3" s="5" t="str">
        <f>Sheet1!E15</f>
        <v>Single</v>
      </c>
      <c r="M3" t="s">
        <v>65</v>
      </c>
      <c r="N3" s="5" t="str">
        <f>Sheet1!G36</f>
        <v>Premium Plan</v>
      </c>
      <c r="Q3" s="81" t="s">
        <v>102</v>
      </c>
      <c r="R3" s="81"/>
      <c r="S3" s="81"/>
      <c r="T3" s="81"/>
      <c r="U3" s="81"/>
      <c r="V3" s="81"/>
      <c r="W3" s="81"/>
    </row>
    <row r="4" spans="2:23" ht="86.4" x14ac:dyDescent="0.3">
      <c r="F4" t="s">
        <v>15</v>
      </c>
      <c r="G4" s="1" t="s">
        <v>18</v>
      </c>
      <c r="K4" t="s">
        <v>42</v>
      </c>
      <c r="Q4" s="81" t="s">
        <v>103</v>
      </c>
      <c r="R4" s="81"/>
      <c r="S4" s="81"/>
      <c r="T4" s="81"/>
      <c r="U4" s="81"/>
      <c r="V4" s="81"/>
      <c r="W4" s="81"/>
    </row>
    <row r="5" spans="2:23" ht="86.4" x14ac:dyDescent="0.3">
      <c r="F5" t="s">
        <v>17</v>
      </c>
      <c r="G5" s="1" t="s">
        <v>19</v>
      </c>
      <c r="K5" t="s">
        <v>53</v>
      </c>
      <c r="Q5" s="82" t="s">
        <v>44</v>
      </c>
      <c r="R5" s="82"/>
      <c r="S5" s="82"/>
      <c r="T5" s="82"/>
      <c r="U5" s="82"/>
      <c r="V5" s="82"/>
      <c r="W5" s="82"/>
    </row>
    <row r="6" spans="2:23" ht="57.6" x14ac:dyDescent="0.3">
      <c r="F6" t="s">
        <v>16</v>
      </c>
      <c r="G6" s="1" t="s">
        <v>20</v>
      </c>
      <c r="K6" t="s">
        <v>43</v>
      </c>
      <c r="Q6" s="7"/>
      <c r="R6" s="7"/>
      <c r="S6" s="7"/>
      <c r="T6" s="7"/>
    </row>
    <row r="7" spans="2:23" x14ac:dyDescent="0.3">
      <c r="Q7" s="8" t="s">
        <v>104</v>
      </c>
      <c r="R7" s="9"/>
      <c r="S7" s="9"/>
      <c r="T7" s="9"/>
      <c r="U7" s="10"/>
      <c r="V7" s="10"/>
      <c r="W7" s="11"/>
    </row>
    <row r="8" spans="2:23" x14ac:dyDescent="0.3">
      <c r="B8" t="s">
        <v>10</v>
      </c>
      <c r="Q8" s="12"/>
      <c r="R8" s="13"/>
      <c r="S8" s="13"/>
      <c r="T8" s="14"/>
      <c r="U8" s="6"/>
      <c r="V8" s="6"/>
      <c r="W8" s="15"/>
    </row>
    <row r="9" spans="2:23" x14ac:dyDescent="0.3">
      <c r="C9" t="s">
        <v>15</v>
      </c>
      <c r="D9" t="s">
        <v>17</v>
      </c>
      <c r="E9" t="s">
        <v>16</v>
      </c>
      <c r="Q9" s="83"/>
      <c r="R9" s="84"/>
      <c r="S9" s="84"/>
      <c r="T9" s="84"/>
      <c r="U9" s="84"/>
      <c r="V9" s="84"/>
      <c r="W9" s="85"/>
    </row>
    <row r="10" spans="2:23" x14ac:dyDescent="0.3">
      <c r="B10" t="s">
        <v>3</v>
      </c>
      <c r="C10">
        <v>0</v>
      </c>
      <c r="D10">
        <v>0</v>
      </c>
      <c r="E10">
        <v>0</v>
      </c>
      <c r="Q10" s="16"/>
      <c r="R10" s="16"/>
      <c r="S10" s="16"/>
      <c r="T10" s="16"/>
      <c r="U10" s="16"/>
      <c r="V10" s="16"/>
      <c r="W10" s="16"/>
    </row>
    <row r="11" spans="2:23" x14ac:dyDescent="0.3">
      <c r="B11" t="s">
        <v>4</v>
      </c>
      <c r="C11">
        <f>5*1*12</f>
        <v>60</v>
      </c>
      <c r="D11">
        <v>120</v>
      </c>
      <c r="E11">
        <f>7.5*12</f>
        <v>90</v>
      </c>
      <c r="Q11" s="86" t="s">
        <v>45</v>
      </c>
      <c r="R11" s="87"/>
      <c r="S11" s="87"/>
      <c r="T11" s="87"/>
      <c r="U11" s="87"/>
      <c r="V11" s="87"/>
      <c r="W11" s="88"/>
    </row>
    <row r="12" spans="2:23" x14ac:dyDescent="0.3">
      <c r="B12" t="s">
        <v>5</v>
      </c>
      <c r="C12">
        <f>C11+60</f>
        <v>120</v>
      </c>
      <c r="D12">
        <f>D11+120</f>
        <v>240</v>
      </c>
      <c r="E12">
        <f>E11+90</f>
        <v>180</v>
      </c>
      <c r="Q12" s="17"/>
      <c r="R12" s="17"/>
      <c r="S12" s="17"/>
      <c r="T12" s="17"/>
    </row>
    <row r="13" spans="2:23" x14ac:dyDescent="0.3">
      <c r="B13" t="s">
        <v>7</v>
      </c>
      <c r="C13">
        <f t="shared" ref="C13:C20" si="0">C12+60</f>
        <v>180</v>
      </c>
      <c r="D13">
        <f t="shared" ref="D13:D20" si="1">D12+120</f>
        <v>360</v>
      </c>
      <c r="E13">
        <f t="shared" ref="E13:E20" si="2">E12+90</f>
        <v>270</v>
      </c>
      <c r="Q13" s="18" t="s">
        <v>46</v>
      </c>
      <c r="R13" s="19"/>
      <c r="S13" s="19"/>
      <c r="T13" s="19"/>
      <c r="U13" s="20"/>
      <c r="V13" s="20"/>
      <c r="W13" s="21"/>
    </row>
    <row r="14" spans="2:23" x14ac:dyDescent="0.3">
      <c r="B14" t="s">
        <v>8</v>
      </c>
      <c r="C14">
        <f t="shared" si="0"/>
        <v>240</v>
      </c>
      <c r="D14">
        <f t="shared" si="1"/>
        <v>480</v>
      </c>
      <c r="E14">
        <f t="shared" si="2"/>
        <v>360</v>
      </c>
      <c r="Q14" s="22" t="s">
        <v>47</v>
      </c>
      <c r="R14" s="23"/>
      <c r="S14" s="23"/>
      <c r="T14" s="23"/>
      <c r="U14" s="24"/>
      <c r="V14" s="24"/>
      <c r="W14" s="25"/>
    </row>
    <row r="15" spans="2:23" ht="28.8" x14ac:dyDescent="0.3">
      <c r="B15" t="s">
        <v>21</v>
      </c>
      <c r="C15">
        <f t="shared" si="0"/>
        <v>300</v>
      </c>
      <c r="D15">
        <f t="shared" si="1"/>
        <v>600</v>
      </c>
      <c r="E15">
        <f t="shared" si="2"/>
        <v>450</v>
      </c>
      <c r="Q15" s="26"/>
      <c r="R15" s="27" t="s">
        <v>48</v>
      </c>
      <c r="S15" s="27" t="s">
        <v>49</v>
      </c>
      <c r="T15" s="27" t="s">
        <v>50</v>
      </c>
      <c r="U15" s="28" t="s">
        <v>51</v>
      </c>
      <c r="V15" s="28" t="s">
        <v>52</v>
      </c>
      <c r="W15" s="29"/>
    </row>
    <row r="16" spans="2:23" x14ac:dyDescent="0.3">
      <c r="B16" t="s">
        <v>22</v>
      </c>
      <c r="C16">
        <f t="shared" si="0"/>
        <v>360</v>
      </c>
      <c r="D16">
        <f t="shared" si="1"/>
        <v>720</v>
      </c>
      <c r="E16">
        <f t="shared" si="2"/>
        <v>540</v>
      </c>
      <c r="Q16" s="30" t="s">
        <v>42</v>
      </c>
      <c r="R16" s="31">
        <v>1243</v>
      </c>
      <c r="S16" s="31">
        <v>1057</v>
      </c>
      <c r="T16" s="31">
        <v>186</v>
      </c>
      <c r="U16" s="32">
        <v>93</v>
      </c>
      <c r="V16" s="32">
        <v>85.84615384615384</v>
      </c>
      <c r="W16" s="33"/>
    </row>
    <row r="17" spans="2:23" x14ac:dyDescent="0.3">
      <c r="B17" t="s">
        <v>23</v>
      </c>
      <c r="C17">
        <f t="shared" si="0"/>
        <v>420</v>
      </c>
      <c r="D17">
        <f t="shared" si="1"/>
        <v>840</v>
      </c>
      <c r="E17">
        <f t="shared" si="2"/>
        <v>630</v>
      </c>
      <c r="Q17" s="30" t="s">
        <v>53</v>
      </c>
      <c r="R17" s="31">
        <v>2555</v>
      </c>
      <c r="S17" s="31">
        <v>1057</v>
      </c>
      <c r="T17" s="31">
        <v>1498</v>
      </c>
      <c r="U17" s="32">
        <v>749</v>
      </c>
      <c r="V17" s="32">
        <v>691.38461538461536</v>
      </c>
      <c r="W17" s="29"/>
    </row>
    <row r="18" spans="2:23" x14ac:dyDescent="0.3">
      <c r="B18" t="s">
        <v>24</v>
      </c>
      <c r="C18">
        <f t="shared" si="0"/>
        <v>480</v>
      </c>
      <c r="D18">
        <f t="shared" si="1"/>
        <v>960</v>
      </c>
      <c r="E18">
        <f t="shared" si="2"/>
        <v>720</v>
      </c>
      <c r="Q18" s="30" t="s">
        <v>43</v>
      </c>
      <c r="R18" s="31">
        <v>3258</v>
      </c>
      <c r="S18" s="31">
        <v>1057</v>
      </c>
      <c r="T18" s="31">
        <v>2201</v>
      </c>
      <c r="U18" s="32">
        <v>1100.5</v>
      </c>
      <c r="V18" s="32">
        <v>1015.8461538461538</v>
      </c>
      <c r="W18" s="29"/>
    </row>
    <row r="19" spans="2:23" x14ac:dyDescent="0.3">
      <c r="B19" t="s">
        <v>25</v>
      </c>
      <c r="C19">
        <f t="shared" si="0"/>
        <v>540</v>
      </c>
      <c r="D19">
        <f t="shared" si="1"/>
        <v>1080</v>
      </c>
      <c r="E19">
        <f t="shared" si="2"/>
        <v>810</v>
      </c>
      <c r="Q19" s="30"/>
      <c r="R19" s="17"/>
      <c r="S19" s="17"/>
      <c r="T19" s="17"/>
      <c r="W19" s="29"/>
    </row>
    <row r="20" spans="2:23" x14ac:dyDescent="0.3">
      <c r="B20" t="s">
        <v>26</v>
      </c>
      <c r="C20">
        <f t="shared" si="0"/>
        <v>600</v>
      </c>
      <c r="D20">
        <f t="shared" si="1"/>
        <v>1200</v>
      </c>
      <c r="E20">
        <f t="shared" si="2"/>
        <v>900</v>
      </c>
      <c r="Q20" s="18" t="s">
        <v>54</v>
      </c>
      <c r="R20" s="19"/>
      <c r="S20" s="19"/>
      <c r="T20" s="19"/>
      <c r="U20" s="20"/>
      <c r="V20" s="20"/>
      <c r="W20" s="21"/>
    </row>
    <row r="21" spans="2:23" x14ac:dyDescent="0.3">
      <c r="B21" t="s">
        <v>62</v>
      </c>
      <c r="C21" s="42">
        <f>VLOOKUP(Sheet1!$E$22,'Sheet 2 - FY27'!$B$10:$E$20,COLUMNS($B17:C17),FALSE)</f>
        <v>0</v>
      </c>
      <c r="D21" s="42">
        <f>VLOOKUP(Sheet1!$E$22,'Sheet 2 - FY27'!$B$10:$E$20,COLUMNS($B17:D17),FALSE)</f>
        <v>0</v>
      </c>
      <c r="E21" s="42">
        <f>VLOOKUP(Sheet1!$E$22,'Sheet 2 - FY27'!$B$10:$E$20,COLUMNS($B17:E17),FALSE)</f>
        <v>0</v>
      </c>
      <c r="Q21" s="22" t="s">
        <v>47</v>
      </c>
      <c r="R21" s="23"/>
      <c r="S21" s="23"/>
      <c r="T21" s="23"/>
      <c r="U21" s="24"/>
      <c r="V21" s="24"/>
      <c r="W21" s="25"/>
    </row>
    <row r="22" spans="2:23" ht="28.8" x14ac:dyDescent="0.3">
      <c r="B22" t="s">
        <v>58</v>
      </c>
      <c r="C22" s="4"/>
      <c r="D22" s="4"/>
      <c r="E22" s="4">
        <f>MIN(IF($L$3="Single",2000,4000),E21)</f>
        <v>0</v>
      </c>
      <c r="Q22" s="26"/>
      <c r="R22" s="27" t="s">
        <v>48</v>
      </c>
      <c r="S22" s="27" t="s">
        <v>49</v>
      </c>
      <c r="T22" s="27" t="s">
        <v>50</v>
      </c>
      <c r="U22" s="28" t="s">
        <v>51</v>
      </c>
      <c r="V22" s="28" t="s">
        <v>52</v>
      </c>
      <c r="W22" s="29"/>
    </row>
    <row r="23" spans="2:23" x14ac:dyDescent="0.3">
      <c r="B23" t="s">
        <v>69</v>
      </c>
      <c r="C23" s="4"/>
      <c r="D23" s="4"/>
      <c r="E23" s="4">
        <v>0</v>
      </c>
      <c r="Q23" s="30" t="s">
        <v>55</v>
      </c>
      <c r="R23" s="31">
        <v>1056</v>
      </c>
      <c r="S23" s="31">
        <v>1003</v>
      </c>
      <c r="T23" s="31">
        <v>53</v>
      </c>
      <c r="U23" s="34">
        <v>26.5</v>
      </c>
      <c r="V23" s="34">
        <v>24.46153846153846</v>
      </c>
      <c r="W23" s="29"/>
    </row>
    <row r="24" spans="2:23" x14ac:dyDescent="0.3">
      <c r="B24" t="s">
        <v>70</v>
      </c>
      <c r="C24">
        <f>C21</f>
        <v>0</v>
      </c>
      <c r="D24">
        <f>D21</f>
        <v>0</v>
      </c>
      <c r="E24">
        <v>0</v>
      </c>
      <c r="Q24" s="30" t="s">
        <v>53</v>
      </c>
      <c r="R24" s="31">
        <v>2172</v>
      </c>
      <c r="S24" s="31">
        <v>1104</v>
      </c>
      <c r="T24" s="31">
        <v>1068</v>
      </c>
      <c r="U24" s="34">
        <v>534</v>
      </c>
      <c r="V24" s="34">
        <v>492.92307692307691</v>
      </c>
      <c r="W24" s="29"/>
    </row>
    <row r="25" spans="2:23" ht="15" thickBot="1" x14ac:dyDescent="0.35">
      <c r="B25" t="s">
        <v>64</v>
      </c>
      <c r="C25" s="4">
        <f>SUM(C22:C24)</f>
        <v>0</v>
      </c>
      <c r="D25" s="4">
        <f>SUM(D22:D24)</f>
        <v>0</v>
      </c>
      <c r="E25" s="4">
        <f>SUM(E22:E24)</f>
        <v>0</v>
      </c>
      <c r="Q25" s="30" t="s">
        <v>43</v>
      </c>
      <c r="R25" s="31">
        <v>2770</v>
      </c>
      <c r="S25" s="31">
        <v>1104</v>
      </c>
      <c r="T25" s="31">
        <v>1666</v>
      </c>
      <c r="U25" s="34">
        <v>833</v>
      </c>
      <c r="V25" s="34">
        <v>768.92307692307691</v>
      </c>
      <c r="W25" s="29"/>
    </row>
    <row r="26" spans="2:23" ht="15" thickBot="1" x14ac:dyDescent="0.35">
      <c r="B26" t="s">
        <v>63</v>
      </c>
      <c r="C26" s="5">
        <f>IF($N$3=C$9,C25,IF(N$3=D$9,D25,IF(N$3=E$9,E25)))</f>
        <v>0</v>
      </c>
      <c r="Q26" s="35"/>
      <c r="R26" s="36"/>
      <c r="S26" s="36"/>
      <c r="T26" s="36"/>
      <c r="U26" s="37"/>
      <c r="V26" s="37"/>
      <c r="W26" s="38"/>
    </row>
    <row r="27" spans="2:23" x14ac:dyDescent="0.3">
      <c r="Q27" s="39" t="s">
        <v>56</v>
      </c>
      <c r="R27" s="23"/>
      <c r="S27" s="23"/>
      <c r="T27" s="23"/>
      <c r="U27" s="24"/>
      <c r="V27" s="24"/>
      <c r="W27" s="25"/>
    </row>
    <row r="28" spans="2:23" x14ac:dyDescent="0.3">
      <c r="B28" t="s">
        <v>11</v>
      </c>
      <c r="C28" s="2">
        <v>0.3</v>
      </c>
      <c r="D28" s="2">
        <v>0.3</v>
      </c>
      <c r="E28" s="2">
        <v>0.2</v>
      </c>
      <c r="F28" t="s">
        <v>29</v>
      </c>
      <c r="G28" t="s">
        <v>30</v>
      </c>
      <c r="H28" t="s">
        <v>31</v>
      </c>
      <c r="Q28" s="22" t="s">
        <v>47</v>
      </c>
      <c r="R28" s="23"/>
      <c r="S28" s="23"/>
      <c r="T28" s="23"/>
      <c r="U28" s="24"/>
      <c r="V28" s="24"/>
      <c r="W28" s="25"/>
    </row>
    <row r="29" spans="2:23" ht="28.8" x14ac:dyDescent="0.3">
      <c r="B29" t="s">
        <v>3</v>
      </c>
      <c r="C29">
        <f>AVERAGE($G29,$H29)*0.3*$F$29</f>
        <v>0</v>
      </c>
      <c r="D29">
        <f>AVERAGE($G29,$H29)*0.3*$F$29</f>
        <v>0</v>
      </c>
      <c r="E29">
        <f>AVERAGE($G29,$H29)*0.2*$F$29</f>
        <v>0</v>
      </c>
      <c r="F29">
        <f>300</f>
        <v>300</v>
      </c>
      <c r="G29">
        <v>0</v>
      </c>
      <c r="H29">
        <v>0</v>
      </c>
      <c r="Q29" s="26"/>
      <c r="R29" s="27" t="s">
        <v>48</v>
      </c>
      <c r="S29" s="27" t="s">
        <v>49</v>
      </c>
      <c r="T29" s="27" t="s">
        <v>50</v>
      </c>
      <c r="U29" s="28" t="s">
        <v>51</v>
      </c>
      <c r="V29" s="28" t="s">
        <v>52</v>
      </c>
      <c r="W29" s="29"/>
    </row>
    <row r="30" spans="2:23" x14ac:dyDescent="0.3">
      <c r="B30" t="s">
        <v>32</v>
      </c>
      <c r="C30">
        <f t="shared" ref="C30:E33" si="3">AVERAGE($G30,$H30)*$F$29</f>
        <v>1050</v>
      </c>
      <c r="D30">
        <f t="shared" si="3"/>
        <v>1050</v>
      </c>
      <c r="E30">
        <f t="shared" si="3"/>
        <v>1050</v>
      </c>
      <c r="G30">
        <v>1</v>
      </c>
      <c r="H30">
        <v>6</v>
      </c>
      <c r="Q30" s="30" t="s">
        <v>55</v>
      </c>
      <c r="R30" s="31">
        <v>982</v>
      </c>
      <c r="S30" s="31">
        <v>982</v>
      </c>
      <c r="T30" s="17">
        <v>0</v>
      </c>
      <c r="U30" s="34">
        <v>0</v>
      </c>
      <c r="V30" s="34">
        <v>0</v>
      </c>
      <c r="W30" s="29"/>
    </row>
    <row r="31" spans="2:23" x14ac:dyDescent="0.3">
      <c r="B31" t="s">
        <v>33</v>
      </c>
      <c r="C31">
        <f t="shared" si="3"/>
        <v>2850</v>
      </c>
      <c r="D31">
        <f t="shared" si="3"/>
        <v>2850</v>
      </c>
      <c r="E31">
        <f t="shared" si="3"/>
        <v>2850</v>
      </c>
      <c r="G31">
        <v>7</v>
      </c>
      <c r="H31">
        <v>12</v>
      </c>
      <c r="Q31" s="30" t="s">
        <v>53</v>
      </c>
      <c r="R31" s="31">
        <v>2018</v>
      </c>
      <c r="S31" s="31">
        <v>1117</v>
      </c>
      <c r="T31" s="31">
        <v>901</v>
      </c>
      <c r="U31" s="34">
        <v>450.5</v>
      </c>
      <c r="V31" s="34">
        <v>415.84615384615387</v>
      </c>
      <c r="W31" s="29"/>
    </row>
    <row r="32" spans="2:23" x14ac:dyDescent="0.3">
      <c r="B32" t="s">
        <v>27</v>
      </c>
      <c r="C32">
        <f t="shared" si="3"/>
        <v>5550</v>
      </c>
      <c r="D32">
        <f t="shared" si="3"/>
        <v>5550</v>
      </c>
      <c r="E32">
        <f t="shared" si="3"/>
        <v>5550</v>
      </c>
      <c r="G32">
        <v>13</v>
      </c>
      <c r="H32">
        <v>24</v>
      </c>
      <c r="Q32" s="35" t="s">
        <v>43</v>
      </c>
      <c r="R32" s="36">
        <v>2574</v>
      </c>
      <c r="S32" s="36">
        <v>1117</v>
      </c>
      <c r="T32" s="36">
        <v>1457</v>
      </c>
      <c r="U32" s="40">
        <v>728.5</v>
      </c>
      <c r="V32" s="40">
        <v>672.46153846153845</v>
      </c>
      <c r="W32" s="38"/>
    </row>
    <row r="33" spans="2:21" x14ac:dyDescent="0.3">
      <c r="B33" t="s">
        <v>28</v>
      </c>
      <c r="C33">
        <f t="shared" si="3"/>
        <v>10950</v>
      </c>
      <c r="D33">
        <f t="shared" si="3"/>
        <v>10950</v>
      </c>
      <c r="E33">
        <f t="shared" si="3"/>
        <v>10950</v>
      </c>
      <c r="G33">
        <v>25</v>
      </c>
      <c r="H33">
        <v>48</v>
      </c>
    </row>
    <row r="34" spans="2:21" x14ac:dyDescent="0.3">
      <c r="B34" t="s">
        <v>62</v>
      </c>
      <c r="C34" s="42">
        <f>VLOOKUP(Sheet1!$E$24,'Sheet 2 - FY27'!$B$29:$E$33,COLUMNS($B30:C30),FALSE)</f>
        <v>0</v>
      </c>
      <c r="D34" s="42">
        <f>VLOOKUP(Sheet1!$E$24,'Sheet 2 - FY27'!$B$29:$E$33,COLUMNS($B30:D30),FALSE)</f>
        <v>0</v>
      </c>
      <c r="E34" s="42">
        <f>VLOOKUP(Sheet1!$E$24,'Sheet 2 - FY27'!$B$29:$E$33,COLUMNS($B30:E30),FALSE)</f>
        <v>0</v>
      </c>
    </row>
    <row r="35" spans="2:21" x14ac:dyDescent="0.3">
      <c r="B35" t="s">
        <v>58</v>
      </c>
      <c r="C35" s="4">
        <v>0</v>
      </c>
      <c r="D35" s="4">
        <v>0</v>
      </c>
      <c r="E35" s="4">
        <f>MIN(IF($L$3="Single",2000,4000),E34)</f>
        <v>0</v>
      </c>
      <c r="Q35" s="30" t="s">
        <v>42</v>
      </c>
    </row>
    <row r="36" spans="2:21" x14ac:dyDescent="0.3">
      <c r="B36" t="s">
        <v>69</v>
      </c>
      <c r="C36" s="4">
        <f>MAX(MIN(IF($L$3="Single",1500,3000),(C34-C35)*C28),0)</f>
        <v>0</v>
      </c>
      <c r="D36" s="4">
        <f>MAX(MIN(IF($L$3="Single",2500,5000),(D34-D35)*D28),0)</f>
        <v>0</v>
      </c>
      <c r="E36" s="4">
        <f>MAX(MIN(IF($L$3="Single",2000,4000),(E34-E35)*E28),0)</f>
        <v>0</v>
      </c>
      <c r="Q36" s="30" t="s">
        <v>53</v>
      </c>
    </row>
    <row r="37" spans="2:21" x14ac:dyDescent="0.3">
      <c r="B37" t="s">
        <v>70</v>
      </c>
      <c r="C37">
        <v>0</v>
      </c>
      <c r="D37">
        <v>0</v>
      </c>
      <c r="E37">
        <v>0</v>
      </c>
      <c r="Q37" s="35" t="s">
        <v>43</v>
      </c>
    </row>
    <row r="38" spans="2:21" ht="15" thickBot="1" x14ac:dyDescent="0.35">
      <c r="B38" t="s">
        <v>64</v>
      </c>
      <c r="C38" s="4">
        <f>SUM(C35:C37)</f>
        <v>0</v>
      </c>
      <c r="D38" s="4">
        <f>SUM(D35:D37)</f>
        <v>0</v>
      </c>
      <c r="E38" s="4">
        <f>SUM(E35:E37)</f>
        <v>0</v>
      </c>
      <c r="R38" t="s">
        <v>57</v>
      </c>
      <c r="S38" t="s">
        <v>58</v>
      </c>
      <c r="T38" t="s">
        <v>60</v>
      </c>
      <c r="U38" t="s">
        <v>61</v>
      </c>
    </row>
    <row r="39" spans="2:21" ht="15" thickBot="1" x14ac:dyDescent="0.35">
      <c r="B39" t="s">
        <v>63</v>
      </c>
      <c r="C39" s="5">
        <f>IF($N$3=C$9,C38,IF(N$3=D$9,D38,IF(N$3=E$9,E38)))</f>
        <v>0</v>
      </c>
      <c r="O39" s="5" t="str">
        <f>Sheet1!E15</f>
        <v>Single</v>
      </c>
      <c r="P39" t="s">
        <v>86</v>
      </c>
      <c r="Q39" s="30" t="s">
        <v>42</v>
      </c>
      <c r="R39" s="41">
        <f>T16*12</f>
        <v>2232</v>
      </c>
      <c r="S39">
        <v>500</v>
      </c>
      <c r="T39">
        <v>1500</v>
      </c>
      <c r="U39">
        <v>6600</v>
      </c>
    </row>
    <row r="40" spans="2:21" x14ac:dyDescent="0.3">
      <c r="P40" t="s">
        <v>86</v>
      </c>
      <c r="Q40" s="30" t="s">
        <v>53</v>
      </c>
      <c r="R40" s="41">
        <f>T17*12</f>
        <v>17976</v>
      </c>
      <c r="S40">
        <v>1000</v>
      </c>
      <c r="T40">
        <v>3000</v>
      </c>
      <c r="U40">
        <v>13200</v>
      </c>
    </row>
    <row r="41" spans="2:21" x14ac:dyDescent="0.3">
      <c r="B41" t="s">
        <v>12</v>
      </c>
      <c r="C41" s="3">
        <v>20</v>
      </c>
      <c r="D41" s="3">
        <v>30</v>
      </c>
      <c r="E41" s="3">
        <v>85</v>
      </c>
      <c r="P41" t="s">
        <v>86</v>
      </c>
      <c r="Q41" s="35" t="s">
        <v>43</v>
      </c>
      <c r="R41" s="41">
        <f>T18*12</f>
        <v>26412</v>
      </c>
      <c r="S41">
        <v>1000</v>
      </c>
      <c r="T41">
        <v>3000</v>
      </c>
      <c r="U41">
        <v>13200</v>
      </c>
    </row>
    <row r="42" spans="2:21" x14ac:dyDescent="0.3">
      <c r="B42" t="s">
        <v>3</v>
      </c>
      <c r="C42" s="4">
        <f t="shared" ref="C42:E46" si="4">ROUND(AVERAGE($G42,$H42),0)*C$41</f>
        <v>0</v>
      </c>
      <c r="D42" s="4">
        <f t="shared" si="4"/>
        <v>0</v>
      </c>
      <c r="E42" s="4">
        <f t="shared" si="4"/>
        <v>0</v>
      </c>
      <c r="G42">
        <v>0</v>
      </c>
      <c r="H42">
        <v>0</v>
      </c>
      <c r="P42" t="s">
        <v>88</v>
      </c>
      <c r="Q42" s="30" t="s">
        <v>42</v>
      </c>
      <c r="R42" s="41">
        <f>T23*12</f>
        <v>636</v>
      </c>
      <c r="S42">
        <v>1500</v>
      </c>
      <c r="T42">
        <v>2500</v>
      </c>
      <c r="U42">
        <v>6600</v>
      </c>
    </row>
    <row r="43" spans="2:21" x14ac:dyDescent="0.3">
      <c r="B43" t="s">
        <v>32</v>
      </c>
      <c r="C43" s="4">
        <f t="shared" si="4"/>
        <v>80</v>
      </c>
      <c r="D43" s="4">
        <f t="shared" si="4"/>
        <v>120</v>
      </c>
      <c r="E43" s="4">
        <f t="shared" si="4"/>
        <v>340</v>
      </c>
      <c r="G43">
        <v>1</v>
      </c>
      <c r="H43">
        <v>6</v>
      </c>
      <c r="P43" t="s">
        <v>88</v>
      </c>
      <c r="Q43" s="30" t="s">
        <v>53</v>
      </c>
      <c r="R43" s="41">
        <f t="shared" ref="R43:R44" si="5">T24*12</f>
        <v>12816</v>
      </c>
      <c r="S43">
        <v>3000</v>
      </c>
      <c r="T43">
        <v>5000</v>
      </c>
      <c r="U43">
        <v>13200</v>
      </c>
    </row>
    <row r="44" spans="2:21" x14ac:dyDescent="0.3">
      <c r="B44" t="s">
        <v>33</v>
      </c>
      <c r="C44" s="4">
        <f t="shared" si="4"/>
        <v>200</v>
      </c>
      <c r="D44" s="4">
        <f t="shared" si="4"/>
        <v>300</v>
      </c>
      <c r="E44" s="4">
        <f t="shared" si="4"/>
        <v>850</v>
      </c>
      <c r="G44">
        <v>7</v>
      </c>
      <c r="H44">
        <v>12</v>
      </c>
      <c r="P44" t="s">
        <v>88</v>
      </c>
      <c r="Q44" s="35" t="s">
        <v>43</v>
      </c>
      <c r="R44" s="41">
        <f t="shared" si="5"/>
        <v>19992</v>
      </c>
      <c r="S44">
        <v>3000</v>
      </c>
      <c r="T44">
        <v>5000</v>
      </c>
      <c r="U44">
        <v>13200</v>
      </c>
    </row>
    <row r="45" spans="2:21" x14ac:dyDescent="0.3">
      <c r="B45" t="s">
        <v>27</v>
      </c>
      <c r="C45" s="4">
        <f t="shared" si="4"/>
        <v>380</v>
      </c>
      <c r="D45" s="4">
        <f t="shared" si="4"/>
        <v>570</v>
      </c>
      <c r="E45" s="4">
        <f t="shared" si="4"/>
        <v>1615</v>
      </c>
      <c r="G45">
        <v>13</v>
      </c>
      <c r="H45">
        <v>24</v>
      </c>
      <c r="P45" t="s">
        <v>87</v>
      </c>
      <c r="Q45" s="30" t="s">
        <v>42</v>
      </c>
      <c r="R45" s="41">
        <f>T30*12</f>
        <v>0</v>
      </c>
      <c r="S45">
        <v>2000</v>
      </c>
      <c r="T45">
        <v>2000</v>
      </c>
      <c r="U45">
        <v>4000</v>
      </c>
    </row>
    <row r="46" spans="2:21" x14ac:dyDescent="0.3">
      <c r="B46" t="s">
        <v>34</v>
      </c>
      <c r="C46" s="4">
        <f t="shared" si="4"/>
        <v>740</v>
      </c>
      <c r="D46" s="4">
        <f t="shared" si="4"/>
        <v>1110</v>
      </c>
      <c r="E46" s="4">
        <f t="shared" si="4"/>
        <v>3145</v>
      </c>
      <c r="G46">
        <v>25</v>
      </c>
      <c r="H46">
        <v>48</v>
      </c>
      <c r="P46" t="s">
        <v>87</v>
      </c>
      <c r="Q46" s="30" t="s">
        <v>53</v>
      </c>
      <c r="R46" s="41">
        <f t="shared" ref="R46:R47" si="6">T31*12</f>
        <v>10812</v>
      </c>
      <c r="S46">
        <v>4000</v>
      </c>
      <c r="T46">
        <v>4000</v>
      </c>
      <c r="U46">
        <v>8000</v>
      </c>
    </row>
    <row r="47" spans="2:21" x14ac:dyDescent="0.3">
      <c r="B47" t="s">
        <v>62</v>
      </c>
      <c r="C47" s="42">
        <f>VLOOKUP(Sheet1!$E$26,'Sheet 2 - FY27'!$B$42:$E$46,COLUMNS($B43:C43),FALSE)</f>
        <v>0</v>
      </c>
      <c r="D47" s="42">
        <f>VLOOKUP(Sheet1!$E$26,'Sheet 2 - FY27'!$B$42:$E$46,COLUMNS($B43:D43),FALSE)</f>
        <v>0</v>
      </c>
      <c r="E47" s="42">
        <f>VLOOKUP(Sheet1!$E$26,'Sheet 2 - FY27'!$B$42:$E$46,COLUMNS($B43:E43),FALSE)</f>
        <v>0</v>
      </c>
      <c r="P47" t="s">
        <v>87</v>
      </c>
      <c r="Q47" s="35" t="s">
        <v>43</v>
      </c>
      <c r="R47" s="41">
        <f t="shared" si="6"/>
        <v>17484</v>
      </c>
      <c r="S47">
        <v>4000</v>
      </c>
      <c r="T47">
        <v>4000</v>
      </c>
      <c r="U47">
        <v>8000</v>
      </c>
    </row>
    <row r="48" spans="2:21" x14ac:dyDescent="0.3">
      <c r="B48" t="s">
        <v>58</v>
      </c>
      <c r="C48" s="4"/>
      <c r="D48" s="4"/>
      <c r="E48" s="4">
        <f>MIN(IF($L$3="Single",2000,4000),E47)</f>
        <v>0</v>
      </c>
      <c r="R48" s="41"/>
    </row>
    <row r="49" spans="2:21" x14ac:dyDescent="0.3">
      <c r="B49" t="s">
        <v>69</v>
      </c>
      <c r="C49" s="4"/>
      <c r="D49" s="4"/>
      <c r="E49" s="4">
        <f>MAX(MIN(IF($L$3="Single",2000,4000),(E47-E48)*$E$80),0)</f>
        <v>0</v>
      </c>
      <c r="R49" s="41"/>
    </row>
    <row r="50" spans="2:21" x14ac:dyDescent="0.3">
      <c r="B50" t="s">
        <v>70</v>
      </c>
      <c r="C50">
        <f>C47</f>
        <v>0</v>
      </c>
      <c r="D50">
        <f>D47</f>
        <v>0</v>
      </c>
      <c r="E50">
        <v>0</v>
      </c>
      <c r="R50" s="41"/>
    </row>
    <row r="51" spans="2:21" ht="15" thickBot="1" x14ac:dyDescent="0.35">
      <c r="B51" t="s">
        <v>64</v>
      </c>
      <c r="C51" s="4">
        <f>SUM(C48:C50)</f>
        <v>0</v>
      </c>
      <c r="D51" s="4">
        <f>SUM(D48:D50)</f>
        <v>0</v>
      </c>
      <c r="E51" s="4">
        <f>SUM(E48:E50)</f>
        <v>0</v>
      </c>
      <c r="R51" s="41"/>
    </row>
    <row r="52" spans="2:21" ht="15" thickBot="1" x14ac:dyDescent="0.35">
      <c r="B52" t="s">
        <v>63</v>
      </c>
      <c r="C52" s="5">
        <f>IF($N$3=C$9,C51,IF(N$3=D$9,D51,IF(N$3=E$9,E51)))</f>
        <v>0</v>
      </c>
      <c r="Q52" t="s">
        <v>15</v>
      </c>
      <c r="R52">
        <f>VLOOKUP($O$39,$Q$39:$W$41,COLUMNS($Q40:R40),FALSE)</f>
        <v>2232</v>
      </c>
      <c r="S52">
        <f>VLOOKUP($O$39,$Q$39:$W$41,COLUMNS($Q40:S40),FALSE)</f>
        <v>500</v>
      </c>
      <c r="T52">
        <f>VLOOKUP($O$39,$Q$39:$W$41,COLUMNS($Q40:T40),FALSE)</f>
        <v>1500</v>
      </c>
      <c r="U52">
        <f>VLOOKUP($O$39,$Q$39:$W$41,COLUMNS($Q40:U40),FALSE)</f>
        <v>6600</v>
      </c>
    </row>
    <row r="53" spans="2:21" x14ac:dyDescent="0.3">
      <c r="Q53" t="s">
        <v>17</v>
      </c>
      <c r="R53">
        <f>VLOOKUP($O$39,$Q$42:$W$44,COLUMNS($Q41:R41),FALSE)</f>
        <v>636</v>
      </c>
      <c r="S53">
        <f>VLOOKUP($O$39,$Q$42:$W$44,COLUMNS($Q41:S41),FALSE)</f>
        <v>1500</v>
      </c>
      <c r="T53">
        <f>VLOOKUP($O$39,$Q$42:$W$44,COLUMNS($Q41:T41),FALSE)</f>
        <v>2500</v>
      </c>
      <c r="U53">
        <f>VLOOKUP($O$39,$Q$42:$W$44,COLUMNS($Q41:U41),FALSE)</f>
        <v>6600</v>
      </c>
    </row>
    <row r="54" spans="2:21" x14ac:dyDescent="0.3">
      <c r="B54" t="s">
        <v>35</v>
      </c>
      <c r="C54" s="3">
        <v>30</v>
      </c>
      <c r="D54" s="3">
        <v>40</v>
      </c>
      <c r="E54" s="3">
        <v>250</v>
      </c>
      <c r="G54" t="s">
        <v>30</v>
      </c>
      <c r="H54" t="s">
        <v>31</v>
      </c>
      <c r="Q54" t="s">
        <v>16</v>
      </c>
      <c r="R54">
        <f>VLOOKUP($O$39,$Q$45:$W$47,COLUMNS($Q42:R42),FALSE)</f>
        <v>0</v>
      </c>
      <c r="S54">
        <f>VLOOKUP($O$39,$Q$45:$W$47,COLUMNS($Q42:S42),FALSE)</f>
        <v>2000</v>
      </c>
      <c r="T54">
        <f>VLOOKUP($O$39,$Q$45:$W$47,COLUMNS($Q42:T42),FALSE)</f>
        <v>2000</v>
      </c>
      <c r="U54">
        <f>VLOOKUP($O$39,$Q$45:$W$47,COLUMNS($Q42:U42),FALSE)</f>
        <v>4000</v>
      </c>
    </row>
    <row r="55" spans="2:21" x14ac:dyDescent="0.3">
      <c r="B55" t="s">
        <v>3</v>
      </c>
      <c r="C55" s="4">
        <f t="shared" ref="C55:E59" si="7">ROUND(AVERAGE($G55,$H55),0)*C$54</f>
        <v>0</v>
      </c>
      <c r="D55" s="4">
        <f t="shared" si="7"/>
        <v>0</v>
      </c>
      <c r="E55" s="4">
        <f t="shared" si="7"/>
        <v>0</v>
      </c>
      <c r="G55">
        <v>0</v>
      </c>
      <c r="H55">
        <v>0</v>
      </c>
      <c r="Q55" t="s">
        <v>59</v>
      </c>
      <c r="R55">
        <f>VLOOKUP($O$39,$Q$39:$W$47,COLUMNS($Q43:R43),FALSE)</f>
        <v>2232</v>
      </c>
      <c r="S55">
        <f>VLOOKUP($O$39,$Q$39:$W$47,COLUMNS($Q43:S43),FALSE)</f>
        <v>500</v>
      </c>
      <c r="T55">
        <f>VLOOKUP($O$39,$Q$39:$W$47,COLUMNS($Q43:T43),FALSE)</f>
        <v>1500</v>
      </c>
      <c r="U55">
        <f>VLOOKUP($O$39,$Q$39:$W$47,COLUMNS($Q43:U43),FALSE)</f>
        <v>6600</v>
      </c>
    </row>
    <row r="56" spans="2:21" x14ac:dyDescent="0.3">
      <c r="B56" t="s">
        <v>32</v>
      </c>
      <c r="C56" s="4">
        <f t="shared" si="7"/>
        <v>120</v>
      </c>
      <c r="D56" s="4">
        <f t="shared" si="7"/>
        <v>160</v>
      </c>
      <c r="E56" s="4">
        <f t="shared" si="7"/>
        <v>1000</v>
      </c>
      <c r="G56">
        <v>1</v>
      </c>
      <c r="H56">
        <v>6</v>
      </c>
    </row>
    <row r="57" spans="2:21" x14ac:dyDescent="0.3">
      <c r="B57" t="s">
        <v>33</v>
      </c>
      <c r="C57" s="4">
        <f t="shared" si="7"/>
        <v>300</v>
      </c>
      <c r="D57" s="4">
        <f t="shared" si="7"/>
        <v>400</v>
      </c>
      <c r="E57" s="4">
        <f t="shared" si="7"/>
        <v>2500</v>
      </c>
      <c r="G57">
        <v>7</v>
      </c>
      <c r="H57">
        <v>12</v>
      </c>
    </row>
    <row r="58" spans="2:21" x14ac:dyDescent="0.3">
      <c r="B58" t="s">
        <v>27</v>
      </c>
      <c r="C58" s="4">
        <f t="shared" si="7"/>
        <v>570</v>
      </c>
      <c r="D58" s="4">
        <f t="shared" si="7"/>
        <v>760</v>
      </c>
      <c r="E58" s="4">
        <f t="shared" si="7"/>
        <v>4750</v>
      </c>
      <c r="G58">
        <v>13</v>
      </c>
      <c r="H58">
        <v>24</v>
      </c>
    </row>
    <row r="59" spans="2:21" x14ac:dyDescent="0.3">
      <c r="B59" t="s">
        <v>34</v>
      </c>
      <c r="C59" s="4">
        <f t="shared" si="7"/>
        <v>1110</v>
      </c>
      <c r="D59" s="4">
        <f t="shared" si="7"/>
        <v>1480</v>
      </c>
      <c r="E59" s="4">
        <f t="shared" si="7"/>
        <v>9250</v>
      </c>
      <c r="G59">
        <v>25</v>
      </c>
      <c r="H59">
        <v>48</v>
      </c>
    </row>
    <row r="60" spans="2:21" x14ac:dyDescent="0.3">
      <c r="B60" t="s">
        <v>62</v>
      </c>
      <c r="C60" s="42">
        <f>VLOOKUP(Sheet1!$E$28,'Sheet 2 - FY27'!$B$55:$E$59,COLUMNS($B56:C56),FALSE)</f>
        <v>0</v>
      </c>
      <c r="D60" s="42">
        <f>VLOOKUP(Sheet1!$E$28,'Sheet 2 - FY27'!$B$55:$E$59,COLUMNS($B56:D56),FALSE)</f>
        <v>0</v>
      </c>
      <c r="E60" s="42">
        <f>VLOOKUP(Sheet1!$E$28,'Sheet 2 - FY27'!$B$55:$E$59,COLUMNS($B56:E56),FALSE)</f>
        <v>0</v>
      </c>
    </row>
    <row r="61" spans="2:21" x14ac:dyDescent="0.3">
      <c r="B61" t="s">
        <v>58</v>
      </c>
      <c r="C61" s="4"/>
      <c r="D61" s="4"/>
      <c r="E61" s="4">
        <f>MIN(IF($L$3="Single",2000,4000),E60)</f>
        <v>0</v>
      </c>
    </row>
    <row r="62" spans="2:21" x14ac:dyDescent="0.3">
      <c r="B62" t="s">
        <v>69</v>
      </c>
      <c r="C62" s="4"/>
      <c r="D62" s="4"/>
      <c r="E62" s="4">
        <f>MAX(MIN(IF($L$3="Single",2000,4000),(E60-E61)*$E$80),0)</f>
        <v>0</v>
      </c>
    </row>
    <row r="63" spans="2:21" x14ac:dyDescent="0.3">
      <c r="B63" t="s">
        <v>70</v>
      </c>
      <c r="C63">
        <f>C60</f>
        <v>0</v>
      </c>
      <c r="D63">
        <f>D60</f>
        <v>0</v>
      </c>
      <c r="E63">
        <v>0</v>
      </c>
    </row>
    <row r="64" spans="2:21" ht="15" thickBot="1" x14ac:dyDescent="0.35">
      <c r="B64" t="s">
        <v>64</v>
      </c>
      <c r="C64" s="4">
        <f>SUM(C61:C63)</f>
        <v>0</v>
      </c>
      <c r="D64" s="4">
        <f>SUM(D61:D63)</f>
        <v>0</v>
      </c>
      <c r="E64" s="4">
        <f>SUM(E61:E63)</f>
        <v>0</v>
      </c>
    </row>
    <row r="65" spans="2:8" ht="15" thickBot="1" x14ac:dyDescent="0.35">
      <c r="B65" t="s">
        <v>63</v>
      </c>
      <c r="C65" s="5">
        <f>IF($N$3=C$9,C64,IF(N$3=D$9,D64,IF(N$3=E$9,E64)))</f>
        <v>0</v>
      </c>
    </row>
    <row r="67" spans="2:8" x14ac:dyDescent="0.3">
      <c r="B67" t="s">
        <v>36</v>
      </c>
      <c r="C67" s="3">
        <v>100</v>
      </c>
      <c r="D67" s="3">
        <v>150</v>
      </c>
      <c r="E67" s="3">
        <v>1500</v>
      </c>
      <c r="G67" t="s">
        <v>30</v>
      </c>
      <c r="H67" t="s">
        <v>31</v>
      </c>
    </row>
    <row r="68" spans="2:8" x14ac:dyDescent="0.3">
      <c r="B68" t="s">
        <v>3</v>
      </c>
      <c r="C68" s="4">
        <f t="shared" ref="C68:E71" si="8">AVERAGE($G68,$H68)*C$67</f>
        <v>0</v>
      </c>
      <c r="D68" s="4">
        <f t="shared" si="8"/>
        <v>0</v>
      </c>
      <c r="E68" s="4">
        <f t="shared" si="8"/>
        <v>0</v>
      </c>
      <c r="G68">
        <v>0</v>
      </c>
      <c r="H68">
        <v>0</v>
      </c>
    </row>
    <row r="69" spans="2:8" x14ac:dyDescent="0.3">
      <c r="B69" t="s">
        <v>37</v>
      </c>
      <c r="C69" s="4">
        <f t="shared" si="8"/>
        <v>100</v>
      </c>
      <c r="D69" s="4">
        <f t="shared" si="8"/>
        <v>150</v>
      </c>
      <c r="E69" s="4">
        <f t="shared" si="8"/>
        <v>1500</v>
      </c>
      <c r="G69">
        <v>1</v>
      </c>
      <c r="H69">
        <v>1</v>
      </c>
    </row>
    <row r="70" spans="2:8" x14ac:dyDescent="0.3">
      <c r="B70" t="s">
        <v>38</v>
      </c>
      <c r="C70" s="4">
        <f t="shared" si="8"/>
        <v>250</v>
      </c>
      <c r="D70" s="4">
        <f t="shared" si="8"/>
        <v>375</v>
      </c>
      <c r="E70" s="4">
        <f t="shared" si="8"/>
        <v>3750</v>
      </c>
      <c r="G70">
        <v>2</v>
      </c>
      <c r="H70">
        <v>3</v>
      </c>
    </row>
    <row r="71" spans="2:8" x14ac:dyDescent="0.3">
      <c r="B71" t="s">
        <v>39</v>
      </c>
      <c r="C71" s="4">
        <f t="shared" si="8"/>
        <v>700</v>
      </c>
      <c r="D71" s="4">
        <f t="shared" si="8"/>
        <v>1050</v>
      </c>
      <c r="E71" s="4">
        <f t="shared" si="8"/>
        <v>10500</v>
      </c>
      <c r="G71">
        <v>4</v>
      </c>
      <c r="H71">
        <v>10</v>
      </c>
    </row>
    <row r="72" spans="2:8" x14ac:dyDescent="0.3">
      <c r="B72" t="s">
        <v>62</v>
      </c>
      <c r="C72" s="42">
        <f>VLOOKUP(Sheet1!$E$30,'Sheet 2 - FY27'!$B$68:$E$71,COLUMNS($B68:C68),FALSE)</f>
        <v>0</v>
      </c>
      <c r="D72" s="42">
        <f>VLOOKUP(Sheet1!$E$30,'Sheet 2 - FY27'!$B$68:$E$71,COLUMNS($B68:D68),FALSE)</f>
        <v>0</v>
      </c>
      <c r="E72" s="42">
        <f>VLOOKUP(Sheet1!$E$30,'Sheet 2 - FY27'!$B$68:$E$71,COLUMNS($B68:E68),FALSE)</f>
        <v>0</v>
      </c>
    </row>
    <row r="73" spans="2:8" x14ac:dyDescent="0.3">
      <c r="B73" t="s">
        <v>58</v>
      </c>
      <c r="C73" s="4"/>
      <c r="D73" s="4"/>
      <c r="E73" s="4">
        <f>MIN(IF($L$3="Single",2000,4000),E72)</f>
        <v>0</v>
      </c>
    </row>
    <row r="74" spans="2:8" x14ac:dyDescent="0.3">
      <c r="B74" t="s">
        <v>69</v>
      </c>
      <c r="C74" s="4"/>
      <c r="D74" s="4"/>
      <c r="E74" s="4">
        <f>MAX(MIN(IF($L$3="Single",2000,4000),(E72-E73)*$E$80),0)</f>
        <v>0</v>
      </c>
    </row>
    <row r="75" spans="2:8" x14ac:dyDescent="0.3">
      <c r="B75" t="s">
        <v>70</v>
      </c>
      <c r="C75">
        <f>C72</f>
        <v>0</v>
      </c>
      <c r="D75">
        <f>D72</f>
        <v>0</v>
      </c>
      <c r="E75">
        <v>0</v>
      </c>
    </row>
    <row r="76" spans="2:8" ht="15" thickBot="1" x14ac:dyDescent="0.35">
      <c r="B76" t="s">
        <v>64</v>
      </c>
      <c r="C76" s="4">
        <f>SUM(C73:C75)</f>
        <v>0</v>
      </c>
      <c r="D76" s="4">
        <f>SUM(D73:D75)</f>
        <v>0</v>
      </c>
      <c r="E76" s="4">
        <f>SUM(E73:E75)</f>
        <v>0</v>
      </c>
    </row>
    <row r="77" spans="2:8" ht="15" thickBot="1" x14ac:dyDescent="0.35">
      <c r="B77" t="s">
        <v>63</v>
      </c>
      <c r="C77" s="5">
        <f>IF($N$3=C$9,C76,IF(N$3=D$9,D76,IF(N$3=E$9,E76)))</f>
        <v>0</v>
      </c>
    </row>
    <row r="80" spans="2:8" x14ac:dyDescent="0.3">
      <c r="B80" t="s">
        <v>40</v>
      </c>
      <c r="C80" s="2">
        <v>0.1</v>
      </c>
      <c r="D80" s="2">
        <v>0.3</v>
      </c>
      <c r="E80" s="2">
        <v>0.2</v>
      </c>
      <c r="F80" s="3">
        <v>20000</v>
      </c>
      <c r="G80" t="s">
        <v>30</v>
      </c>
      <c r="H80" t="s">
        <v>31</v>
      </c>
    </row>
    <row r="81" spans="2:8" x14ac:dyDescent="0.3">
      <c r="B81" t="s">
        <v>3</v>
      </c>
      <c r="C81" s="4">
        <f t="shared" ref="C81:E84" si="9">AVERAGE($G81,$H81)*$F$80</f>
        <v>0</v>
      </c>
      <c r="D81" s="4">
        <f t="shared" si="9"/>
        <v>0</v>
      </c>
      <c r="E81" s="4">
        <f t="shared" si="9"/>
        <v>0</v>
      </c>
      <c r="G81">
        <v>0</v>
      </c>
      <c r="H81">
        <v>0</v>
      </c>
    </row>
    <row r="82" spans="2:8" x14ac:dyDescent="0.3">
      <c r="B82" t="s">
        <v>37</v>
      </c>
      <c r="C82" s="4">
        <f t="shared" si="9"/>
        <v>20000</v>
      </c>
      <c r="D82" s="4">
        <f t="shared" si="9"/>
        <v>20000</v>
      </c>
      <c r="E82" s="4">
        <f t="shared" si="9"/>
        <v>20000</v>
      </c>
      <c r="G82">
        <v>1</v>
      </c>
      <c r="H82">
        <v>1</v>
      </c>
    </row>
    <row r="83" spans="2:8" x14ac:dyDescent="0.3">
      <c r="B83" t="s">
        <v>38</v>
      </c>
      <c r="C83" s="4">
        <f t="shared" si="9"/>
        <v>50000</v>
      </c>
      <c r="D83" s="4">
        <f t="shared" si="9"/>
        <v>50000</v>
      </c>
      <c r="E83" s="4">
        <f t="shared" si="9"/>
        <v>50000</v>
      </c>
      <c r="G83">
        <v>2</v>
      </c>
      <c r="H83">
        <v>3</v>
      </c>
    </row>
    <row r="84" spans="2:8" x14ac:dyDescent="0.3">
      <c r="B84" t="s">
        <v>39</v>
      </c>
      <c r="C84" s="4">
        <f t="shared" si="9"/>
        <v>140000</v>
      </c>
      <c r="D84" s="4">
        <f t="shared" si="9"/>
        <v>140000</v>
      </c>
      <c r="E84" s="4">
        <f t="shared" si="9"/>
        <v>140000</v>
      </c>
      <c r="G84">
        <v>4</v>
      </c>
      <c r="H84">
        <v>10</v>
      </c>
    </row>
    <row r="85" spans="2:8" x14ac:dyDescent="0.3">
      <c r="B85" t="s">
        <v>62</v>
      </c>
      <c r="C85" s="42">
        <f>VLOOKUP(Sheet1!$E$32,'Sheet 2 - FY27'!$B$81:$E$84,2,FALSE)</f>
        <v>0</v>
      </c>
      <c r="D85" s="42">
        <f>VLOOKUP(Sheet1!$E$32,'Sheet 2 - FY27'!$B$81:$E$84,3,FALSE)</f>
        <v>0</v>
      </c>
      <c r="E85" s="42">
        <f>VLOOKUP(Sheet1!$E$32,'Sheet 2 - FY27'!$B$81:$E$84,4,FALSE)</f>
        <v>0</v>
      </c>
    </row>
    <row r="86" spans="2:8" x14ac:dyDescent="0.3">
      <c r="B86" t="s">
        <v>58</v>
      </c>
      <c r="C86" s="4">
        <f>MIN(IF($L$3="Single",500,1000),C85)</f>
        <v>0</v>
      </c>
      <c r="D86" s="4">
        <f>MIN(IF($L$3="Single",1500,3000),D85)</f>
        <v>0</v>
      </c>
      <c r="E86" s="4">
        <f>MIN(IF($L$3="Single",2000,4000),E85)</f>
        <v>0</v>
      </c>
    </row>
    <row r="87" spans="2:8" x14ac:dyDescent="0.3">
      <c r="B87" t="s">
        <v>69</v>
      </c>
      <c r="C87" s="4">
        <f>MAX(MIN(IF($L$3="Single",1500,3000),(C85-C86)*C80),0)</f>
        <v>0</v>
      </c>
      <c r="D87" s="4">
        <f>MAX(MIN(IF($L$3="Single",2500,5000),(D85-D86)*D80),0)</f>
        <v>0</v>
      </c>
      <c r="E87" s="4">
        <f>MAX(MIN(IF($L$3="Single",2000,4000),(E85-E86)*E80),0)</f>
        <v>0</v>
      </c>
    </row>
    <row r="88" spans="2:8" x14ac:dyDescent="0.3">
      <c r="B88" t="s">
        <v>70</v>
      </c>
      <c r="C88">
        <v>0</v>
      </c>
      <c r="D88">
        <v>0</v>
      </c>
      <c r="E88">
        <v>0</v>
      </c>
    </row>
    <row r="89" spans="2:8" ht="15" thickBot="1" x14ac:dyDescent="0.35">
      <c r="B89" t="s">
        <v>64</v>
      </c>
      <c r="C89" s="4">
        <f>SUM(C86:C88)</f>
        <v>0</v>
      </c>
      <c r="D89" s="4">
        <f>SUM(D86:D88)</f>
        <v>0</v>
      </c>
      <c r="E89" s="4">
        <f>SUM(E86:E88)</f>
        <v>0</v>
      </c>
    </row>
    <row r="90" spans="2:8" ht="15" thickBot="1" x14ac:dyDescent="0.35">
      <c r="B90" t="s">
        <v>63</v>
      </c>
      <c r="C90" s="5">
        <f>IF($N$3=C$9,C89,IF(N$3=D$9,D89,IF(N$3=E$9,E89)))</f>
        <v>0</v>
      </c>
    </row>
    <row r="92" spans="2:8" x14ac:dyDescent="0.3">
      <c r="B92" t="s">
        <v>13</v>
      </c>
      <c r="C92" s="2">
        <v>0.1</v>
      </c>
      <c r="D92" s="2">
        <v>0.3</v>
      </c>
      <c r="E92" s="2">
        <v>0.2</v>
      </c>
      <c r="F92" s="43">
        <v>5000</v>
      </c>
      <c r="G92" t="s">
        <v>30</v>
      </c>
      <c r="H92" t="s">
        <v>31</v>
      </c>
    </row>
    <row r="93" spans="2:8" x14ac:dyDescent="0.3">
      <c r="B93" t="s">
        <v>3</v>
      </c>
      <c r="C93" s="44">
        <f t="shared" ref="C93:E96" si="10">AVERAGE($G93,$H93)*$F$92</f>
        <v>0</v>
      </c>
      <c r="D93" s="4">
        <f t="shared" si="10"/>
        <v>0</v>
      </c>
      <c r="E93" s="4">
        <f t="shared" si="10"/>
        <v>0</v>
      </c>
      <c r="G93">
        <v>0</v>
      </c>
      <c r="H93">
        <v>0</v>
      </c>
    </row>
    <row r="94" spans="2:8" x14ac:dyDescent="0.3">
      <c r="B94" t="s">
        <v>37</v>
      </c>
      <c r="C94" s="4">
        <f t="shared" si="10"/>
        <v>5000</v>
      </c>
      <c r="D94" s="4">
        <f t="shared" si="10"/>
        <v>5000</v>
      </c>
      <c r="E94" s="4">
        <f t="shared" si="10"/>
        <v>5000</v>
      </c>
      <c r="G94">
        <v>1</v>
      </c>
      <c r="H94">
        <v>1</v>
      </c>
    </row>
    <row r="95" spans="2:8" x14ac:dyDescent="0.3">
      <c r="B95" t="s">
        <v>38</v>
      </c>
      <c r="C95" s="4">
        <f t="shared" si="10"/>
        <v>12500</v>
      </c>
      <c r="D95" s="4">
        <f t="shared" si="10"/>
        <v>12500</v>
      </c>
      <c r="E95" s="4">
        <f t="shared" si="10"/>
        <v>12500</v>
      </c>
      <c r="G95">
        <v>2</v>
      </c>
      <c r="H95">
        <v>3</v>
      </c>
    </row>
    <row r="96" spans="2:8" x14ac:dyDescent="0.3">
      <c r="B96" t="s">
        <v>39</v>
      </c>
      <c r="C96" s="4">
        <f t="shared" si="10"/>
        <v>35000</v>
      </c>
      <c r="D96" s="4">
        <f t="shared" si="10"/>
        <v>35000</v>
      </c>
      <c r="E96" s="4">
        <f t="shared" si="10"/>
        <v>35000</v>
      </c>
      <c r="G96">
        <v>4</v>
      </c>
      <c r="H96">
        <v>10</v>
      </c>
    </row>
    <row r="97" spans="1:5" x14ac:dyDescent="0.3">
      <c r="B97" t="s">
        <v>62</v>
      </c>
      <c r="C97" s="42">
        <f>VLOOKUP(Sheet1!$E$34,'Sheet 2 - FY27'!$B$93:$E$96,2,FALSE)</f>
        <v>0</v>
      </c>
      <c r="D97" s="42">
        <f>VLOOKUP(Sheet1!$E$34,'Sheet 2 - FY27'!$B$93:$E$96,3,FALSE)</f>
        <v>0</v>
      </c>
      <c r="E97" s="42">
        <f>VLOOKUP(Sheet1!$E$34,'Sheet 2 - FY27'!$B$93:$E$96,4,FALSE)</f>
        <v>0</v>
      </c>
    </row>
    <row r="98" spans="1:5" x14ac:dyDescent="0.3">
      <c r="B98" t="s">
        <v>58</v>
      </c>
      <c r="C98" s="4">
        <f>MIN(IF($L$3="Single",500,1000),C97)</f>
        <v>0</v>
      </c>
      <c r="D98" s="4">
        <f>MIN(IF($L$3="Single",1500,3000),D97)</f>
        <v>0</v>
      </c>
      <c r="E98" s="4">
        <f>MIN(IF($L$3="Single",2000,4000),E97)</f>
        <v>0</v>
      </c>
    </row>
    <row r="99" spans="1:5" x14ac:dyDescent="0.3">
      <c r="B99" t="s">
        <v>69</v>
      </c>
      <c r="C99" s="4">
        <f>MAX(MIN(IF($L$3="Single",1500,3000),(C97-C98)*C92),0)</f>
        <v>0</v>
      </c>
      <c r="D99" s="4">
        <f>MAX(MIN(IF($L$3="Single",2500,5000),(D97-D98)*D92),0)</f>
        <v>0</v>
      </c>
      <c r="E99" s="4">
        <f>MAX(MIN(IF($L$3="Single",2000,4000),(E97-E98)*E92),0)</f>
        <v>0</v>
      </c>
    </row>
    <row r="100" spans="1:5" x14ac:dyDescent="0.3">
      <c r="B100" t="s">
        <v>70</v>
      </c>
      <c r="C100">
        <v>0</v>
      </c>
      <c r="D100">
        <v>0</v>
      </c>
      <c r="E100">
        <v>0</v>
      </c>
    </row>
    <row r="101" spans="1:5" ht="15" thickBot="1" x14ac:dyDescent="0.35">
      <c r="B101" t="s">
        <v>64</v>
      </c>
      <c r="C101" s="4">
        <f>SUM(C98:C100)</f>
        <v>0</v>
      </c>
      <c r="D101" s="4">
        <f t="shared" ref="D101:E101" si="11">SUM(D98:D100)</f>
        <v>0</v>
      </c>
      <c r="E101" s="4">
        <f t="shared" si="11"/>
        <v>0</v>
      </c>
    </row>
    <row r="102" spans="1:5" ht="15" thickBot="1" x14ac:dyDescent="0.35">
      <c r="B102" t="s">
        <v>63</v>
      </c>
      <c r="C102" s="5">
        <f>IF($N$3=C$9,C101,IF(N$3=D$9,D101,IF(N$3=E$9,E101)))</f>
        <v>0</v>
      </c>
    </row>
    <row r="105" spans="1:5" x14ac:dyDescent="0.3">
      <c r="B105" t="s">
        <v>58</v>
      </c>
      <c r="C105" s="4">
        <f>C98+C86+C73+C61+C48+C35+C22</f>
        <v>0</v>
      </c>
      <c r="D105" s="4">
        <f t="shared" ref="D105:E105" si="12">D98+D86+D73+D61+D48+D35+D22</f>
        <v>0</v>
      </c>
      <c r="E105" s="4">
        <f t="shared" si="12"/>
        <v>0</v>
      </c>
    </row>
    <row r="106" spans="1:5" x14ac:dyDescent="0.3">
      <c r="B106" t="s">
        <v>69</v>
      </c>
      <c r="C106" s="4">
        <f>C99+C87+C74+C62+C49</f>
        <v>0</v>
      </c>
      <c r="D106" s="4">
        <f t="shared" ref="D106:E106" si="13">D99+D87+D74+D62+D49</f>
        <v>0</v>
      </c>
      <c r="E106" s="4">
        <f t="shared" si="13"/>
        <v>0</v>
      </c>
    </row>
    <row r="107" spans="1:5" x14ac:dyDescent="0.3">
      <c r="B107" t="s">
        <v>70</v>
      </c>
      <c r="C107" s="4">
        <f>C100+C88+C75+C63+C50+C37+C24+C36+C23</f>
        <v>0</v>
      </c>
      <c r="D107" s="4">
        <f t="shared" ref="D107:E107" si="14">D100+D88+D75+D63+D50+D37+D24+D36+D23</f>
        <v>0</v>
      </c>
      <c r="E107" s="4">
        <f t="shared" si="14"/>
        <v>0</v>
      </c>
    </row>
    <row r="109" spans="1:5" x14ac:dyDescent="0.3">
      <c r="A109" t="s">
        <v>85</v>
      </c>
      <c r="B109" t="s">
        <v>58</v>
      </c>
      <c r="C109">
        <f>IF($L$3="Single",$S$39,$S$40)</f>
        <v>500</v>
      </c>
      <c r="D109">
        <f>IF($L$3="Single",$S$42,$S$43)</f>
        <v>1500</v>
      </c>
      <c r="E109">
        <f>IF($L$3="Single",$S$45,$S$46)</f>
        <v>2000</v>
      </c>
    </row>
    <row r="110" spans="1:5" x14ac:dyDescent="0.3">
      <c r="B110" t="s">
        <v>69</v>
      </c>
      <c r="C110">
        <f>IF($L$3="Single",$T$39,$T$40)</f>
        <v>1500</v>
      </c>
      <c r="D110">
        <f>IF($L$3="Single",$T$42,$T$43)</f>
        <v>2500</v>
      </c>
      <c r="E110">
        <f>IF($L$3="Single",$T$45,$T$46)</f>
        <v>2000</v>
      </c>
    </row>
    <row r="112" spans="1:5" x14ac:dyDescent="0.3">
      <c r="B112" t="s">
        <v>58</v>
      </c>
      <c r="C112" s="4">
        <f>MIN(C109,C105)</f>
        <v>0</v>
      </c>
      <c r="D112" s="4">
        <f t="shared" ref="D112:E113" si="15">MIN(D109,D105)</f>
        <v>0</v>
      </c>
      <c r="E112" s="4">
        <f t="shared" si="15"/>
        <v>0</v>
      </c>
    </row>
    <row r="113" spans="2:5" x14ac:dyDescent="0.3">
      <c r="B113" t="s">
        <v>69</v>
      </c>
      <c r="C113" s="4">
        <f>MIN(C110,C106)</f>
        <v>0</v>
      </c>
      <c r="D113" s="4">
        <f t="shared" si="15"/>
        <v>0</v>
      </c>
      <c r="E113" s="4">
        <f t="shared" si="15"/>
        <v>0</v>
      </c>
    </row>
    <row r="115" spans="2:5" x14ac:dyDescent="0.3">
      <c r="B115" t="s">
        <v>85</v>
      </c>
      <c r="C115" s="4">
        <f>C113+C112+C107</f>
        <v>0</v>
      </c>
      <c r="D115" s="4">
        <f t="shared" ref="D115:E115" si="16">D113+D112+D107</f>
        <v>0</v>
      </c>
      <c r="E115" s="4">
        <f t="shared" si="16"/>
        <v>0</v>
      </c>
    </row>
    <row r="116" spans="2:5" x14ac:dyDescent="0.3">
      <c r="B116" t="s">
        <v>71</v>
      </c>
      <c r="C116">
        <f>C102+C90+C77+C65+C52+C39+C26</f>
        <v>0</v>
      </c>
    </row>
  </sheetData>
  <mergeCells count="5">
    <mergeCell ref="Q3:W3"/>
    <mergeCell ref="Q4:W4"/>
    <mergeCell ref="Q5:W5"/>
    <mergeCell ref="Q9:W9"/>
    <mergeCell ref="Q11:W11"/>
  </mergeCells>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 2 - FY27</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Tighe</dc:creator>
  <cp:lastModifiedBy>Meghan Reed</cp:lastModifiedBy>
  <cp:lastPrinted>2025-05-02T15:28:14Z</cp:lastPrinted>
  <dcterms:created xsi:type="dcterms:W3CDTF">2025-04-01T22:11:13Z</dcterms:created>
  <dcterms:modified xsi:type="dcterms:W3CDTF">2026-05-05T16:50:00Z</dcterms:modified>
</cp:coreProperties>
</file>