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tiff" ContentType="image/tiff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dtran\Documents\"/>
    </mc:Choice>
  </mc:AlternateContent>
  <xr:revisionPtr revIDLastSave="0" documentId="13_ncr:1_{E4A279DD-0DC1-42CB-A3E9-817FC102DFFF}" xr6:coauthVersionLast="36" xr6:coauthVersionMax="47" xr10:uidLastSave="{00000000-0000-0000-0000-000000000000}"/>
  <bookViews>
    <workbookView showSheetTabs="0" xWindow="-120" yWindow="-120" windowWidth="29040" windowHeight="17520" xr2:uid="{00000000-000D-0000-FFFF-FFFF00000000}"/>
  </bookViews>
  <sheets>
    <sheet name="product" sheetId="1" r:id="rId1"/>
    <sheet name="eq #1" sheetId="2" r:id="rId2"/>
    <sheet name="eq #2" sheetId="3" r:id="rId3"/>
    <sheet name="eq #3" sheetId="4" r:id="rId4"/>
    <sheet name="MCOTS-N-12-Q3P1N-QT" sheetId="11" r:id="rId5"/>
    <sheet name="NQ20" sheetId="5" r:id="rId6"/>
    <sheet name="NQ40 EP_QT_HG" sheetId="6" r:id="rId7"/>
    <sheet name="NQ40 EG_ET_QG" sheetId="9" r:id="rId8"/>
    <sheet name="NQ60" sheetId="7" r:id="rId9"/>
    <sheet name="NQ90" sheetId="8" r:id="rId10"/>
    <sheet name="MCOTS-270-xx-FE" sheetId="14" r:id="rId11"/>
    <sheet name="MCOTS-270H_HL" sheetId="15" r:id="rId12"/>
    <sheet name="RQ (QG, QM, QT)" sheetId="17" r:id="rId13"/>
    <sheet name="RQ ( HE, HG, HP)" sheetId="18" r:id="rId14"/>
    <sheet name="RQ (HZ)" sheetId="19" r:id="rId15"/>
    <sheet name="MCOTS 270 HE" sheetId="20" r:id="rId16"/>
    <sheet name="MCOTS 270-400 HT" sheetId="21" r:id="rId17"/>
    <sheet name="MCOTS 270F" sheetId="23" r:id="rId18"/>
    <sheet name="MCOTS-C-270-05xxT-HT" sheetId="24" r:id="rId19"/>
    <sheet name="MCOTS-C-270-xxxx-FT" sheetId="25" r:id="rId20"/>
  </sheets>
  <definedNames>
    <definedName name="MCOTS_270_HE">product!$C$19</definedName>
    <definedName name="MCOTS40" localSheetId="17">#REF!</definedName>
    <definedName name="MCOTS40" localSheetId="18">#REF!</definedName>
    <definedName name="MCOTS40" localSheetId="19">#REF!</definedName>
    <definedName name="MCOTS40">#REF!</definedName>
    <definedName name="MCOTS60" localSheetId="17">#REF!</definedName>
    <definedName name="MCOTS60" localSheetId="18">#REF!</definedName>
    <definedName name="MCOTS60" localSheetId="19">#REF!</definedName>
    <definedName name="MCOTS60">#REF!</definedName>
    <definedName name="Picture">INDIRECT('MCOTS 270 HE'!$A$18)</definedName>
    <definedName name="Pictures">INDIRECT('MCOTS 270 HE'!$A$18)</definedName>
    <definedName name="_xlnm.Print_Area" localSheetId="1">'eq #1'!$A$1:$G$24</definedName>
  </definedNames>
  <calcPr calcId="191029"/>
</workbook>
</file>

<file path=xl/calcChain.xml><?xml version="1.0" encoding="utf-8"?>
<calcChain xmlns="http://schemas.openxmlformats.org/spreadsheetml/2006/main">
  <c r="F9" i="25" l="1"/>
  <c r="F7" i="25"/>
  <c r="D4" i="25" l="1"/>
  <c r="C4" i="25"/>
  <c r="F7" i="21" l="1"/>
  <c r="G4" i="25" l="1"/>
  <c r="E4" i="25"/>
  <c r="D10" i="24" l="1"/>
  <c r="E21" i="24" l="1"/>
  <c r="E19" i="24"/>
  <c r="E16" i="24"/>
  <c r="C16" i="24"/>
  <c r="B16" i="24"/>
  <c r="E11" i="24"/>
  <c r="C6" i="24"/>
  <c r="E9" i="24"/>
  <c r="D6" i="24"/>
  <c r="C11" i="24"/>
  <c r="C9" i="24"/>
  <c r="F6" i="24"/>
  <c r="F9" i="21" l="1"/>
  <c r="G4" i="21" l="1"/>
  <c r="E4" i="21"/>
  <c r="E4" i="23" l="1"/>
  <c r="D4" i="23" l="1"/>
  <c r="C4" i="23"/>
  <c r="F7" i="23"/>
  <c r="F9" i="23"/>
  <c r="B15" i="23"/>
  <c r="B14" i="23"/>
  <c r="B13" i="23"/>
  <c r="B16" i="23"/>
  <c r="G4" i="23"/>
  <c r="B17" i="20" l="1"/>
  <c r="B16" i="20" l="1"/>
  <c r="C6" i="20"/>
  <c r="D4" i="21" l="1"/>
  <c r="C4" i="21"/>
  <c r="G6" i="20"/>
  <c r="I6" i="20" s="1"/>
  <c r="E9" i="20"/>
  <c r="C17" i="20" s="1"/>
  <c r="F6" i="20"/>
  <c r="D6" i="20"/>
  <c r="C16" i="20" l="1"/>
  <c r="D17" i="20"/>
  <c r="D16" i="20"/>
  <c r="J6" i="20"/>
  <c r="D5" i="19" l="1"/>
  <c r="C5" i="19"/>
  <c r="F10" i="19" l="1"/>
  <c r="F8" i="19"/>
  <c r="G5" i="19"/>
  <c r="E5" i="19"/>
  <c r="F10" i="18"/>
  <c r="F8" i="18"/>
  <c r="G5" i="18"/>
  <c r="E5" i="18"/>
  <c r="D5" i="18"/>
  <c r="C5" i="18"/>
  <c r="F10" i="17"/>
  <c r="F8" i="17"/>
  <c r="G5" i="17"/>
  <c r="E5" i="17"/>
  <c r="D5" i="17"/>
  <c r="C5" i="17"/>
  <c r="E9" i="14" l="1"/>
  <c r="C16" i="14" l="1"/>
  <c r="C17" i="14"/>
  <c r="F9" i="15"/>
  <c r="F7" i="15"/>
  <c r="G4" i="15"/>
  <c r="E4" i="15"/>
  <c r="D4" i="15"/>
  <c r="C4" i="15"/>
  <c r="F6" i="14"/>
  <c r="D16" i="14" s="1"/>
  <c r="B17" i="14"/>
  <c r="B16" i="14"/>
  <c r="G6" i="14"/>
  <c r="I6" i="14" s="1"/>
  <c r="D6" i="14"/>
  <c r="C6" i="14"/>
  <c r="E6" i="11"/>
  <c r="C6" i="11"/>
  <c r="C6" i="8"/>
  <c r="E6" i="9"/>
  <c r="C6" i="9"/>
  <c r="E19" i="11"/>
  <c r="B16" i="11"/>
  <c r="E9" i="11"/>
  <c r="B6" i="11"/>
  <c r="B6" i="6"/>
  <c r="E9" i="6"/>
  <c r="C6" i="5"/>
  <c r="E6" i="5"/>
  <c r="E9" i="9"/>
  <c r="I6" i="9"/>
  <c r="H6" i="9"/>
  <c r="B6" i="9"/>
  <c r="E6" i="8"/>
  <c r="E6" i="7"/>
  <c r="C6" i="7"/>
  <c r="E6" i="6"/>
  <c r="C6" i="6"/>
  <c r="H6" i="8"/>
  <c r="I6" i="8"/>
  <c r="I6" i="5"/>
  <c r="H6" i="5"/>
  <c r="I6" i="6"/>
  <c r="H6" i="6"/>
  <c r="I6" i="7"/>
  <c r="H6" i="7"/>
  <c r="G4" i="4"/>
  <c r="E4" i="4"/>
  <c r="G4" i="3"/>
  <c r="G4" i="2"/>
  <c r="E9" i="8"/>
  <c r="B6" i="8"/>
  <c r="E9" i="7"/>
  <c r="E9" i="5"/>
  <c r="B6" i="7"/>
  <c r="B6" i="5"/>
  <c r="F9" i="4"/>
  <c r="F7" i="4"/>
  <c r="F9" i="3"/>
  <c r="F7" i="3"/>
  <c r="F9" i="2"/>
  <c r="F7" i="2"/>
  <c r="D4" i="4"/>
  <c r="C4" i="4"/>
  <c r="E4" i="3"/>
  <c r="D4" i="3"/>
  <c r="C4" i="3"/>
  <c r="E4" i="2"/>
  <c r="D4" i="2"/>
  <c r="C4" i="2"/>
  <c r="J6" i="14" l="1"/>
  <c r="D17" i="14"/>
</calcChain>
</file>

<file path=xl/sharedStrings.xml><?xml version="1.0" encoding="utf-8"?>
<sst xmlns="http://schemas.openxmlformats.org/spreadsheetml/2006/main" count="463" uniqueCount="133">
  <si>
    <t>Select the SynQor converter to trim</t>
  </si>
  <si>
    <t>IQ48 HZ</t>
  </si>
  <si>
    <t>MCOTS 28 HZ</t>
  </si>
  <si>
    <t>MCOTS 28E HZ</t>
  </si>
  <si>
    <t>MCOTS 28V HZ</t>
  </si>
  <si>
    <t>MCOTS 28VE HZ</t>
  </si>
  <si>
    <t>MCOTS 48 HZ</t>
  </si>
  <si>
    <t>Power Qor</t>
  </si>
  <si>
    <t>InQor</t>
  </si>
  <si>
    <t>MCOTS</t>
  </si>
  <si>
    <t>IQ32 HZ</t>
  </si>
  <si>
    <t>PQ24 QE</t>
  </si>
  <si>
    <t>PQ30 EG</t>
  </si>
  <si>
    <t>Trim Down Resistor</t>
  </si>
  <si>
    <t>MCOTS 28V HP</t>
  </si>
  <si>
    <t>MCOTS 28VE HP</t>
  </si>
  <si>
    <t>MCOTS 270 FT</t>
  </si>
  <si>
    <t>MCOTS 270 HT</t>
  </si>
  <si>
    <t>MCOTS 270 QT</t>
  </si>
  <si>
    <t>MCOTS 270 N (all)</t>
  </si>
  <si>
    <t>RailQor</t>
  </si>
  <si>
    <t>PQ24 QG</t>
  </si>
  <si>
    <t>PQ30 QG</t>
  </si>
  <si>
    <t>Calculate the output voltage for your actual trim resistor</t>
  </si>
  <si>
    <t xml:space="preserve"> Volts</t>
  </si>
  <si>
    <t>Yellow boxes require your input</t>
  </si>
  <si>
    <t xml:space="preserve">Trim Up Resistor </t>
  </si>
  <si>
    <t>NQ 20</t>
  </si>
  <si>
    <t>NQ 60</t>
  </si>
  <si>
    <t>NQ 90</t>
  </si>
  <si>
    <t>MCOTS N 28V</t>
  </si>
  <si>
    <t>MCOTS N 28VE</t>
  </si>
  <si>
    <t>(Ω)     actual output voltage is</t>
  </si>
  <si>
    <t>HV NiQor</t>
  </si>
  <si>
    <t>PQ50 HP, HT, HZ</t>
  </si>
  <si>
    <t>PQ60 QE, QZ</t>
  </si>
  <si>
    <t xml:space="preserve">Trim Resistor </t>
  </si>
  <si>
    <t>IQ72</t>
  </si>
  <si>
    <t>To find the Iset resistor or voltage</t>
  </si>
  <si>
    <t>To find trim resistor or voltage</t>
  </si>
  <si>
    <t>Module circuit schematic.  When the trim pin is open, the module will produce its nominal output voltage</t>
  </si>
  <si>
    <t>Nominal output (Volts)</t>
  </si>
  <si>
    <t>Desired output (Volts)</t>
  </si>
  <si>
    <t>Trim Up Resistor (Ohms)</t>
  </si>
  <si>
    <t>Trim Down Resistor (Ohms)</t>
  </si>
  <si>
    <t>Trim Voltage (Volts)</t>
  </si>
  <si>
    <t>Enter Trim Voltage (Volts)</t>
  </si>
  <si>
    <t>Actual Output (Volts)</t>
  </si>
  <si>
    <t>Trim Resistor (Ohms)</t>
  </si>
  <si>
    <t>Converter Max Current (Amps)</t>
  </si>
  <si>
    <t>Desired Max Current (Amps)</t>
  </si>
  <si>
    <t>Iset Resistor (Ohms)</t>
  </si>
  <si>
    <t>Iset Voltage (Volts)</t>
  </si>
  <si>
    <t>Desired Output Voltage (Volts)</t>
  </si>
  <si>
    <t>Actual Output Voltage (Volts)</t>
  </si>
  <si>
    <t>SynQor converter Trim Tool</t>
  </si>
  <si>
    <t>Find the output voltage with known trim voltage</t>
  </si>
  <si>
    <t>Equations for all NQ20 converters</t>
  </si>
  <si>
    <t>Equations for all NQ60 &amp; MCOTS-N-28V converters</t>
  </si>
  <si>
    <t>Equations for all NQ90 &amp; MCOTS-N-28VE converters</t>
  </si>
  <si>
    <t xml:space="preserve">IQ12 </t>
  </si>
  <si>
    <t xml:space="preserve">IQ18 </t>
  </si>
  <si>
    <t>IQ32 HP, HT, QT, QG</t>
  </si>
  <si>
    <t xml:space="preserve">IQ36 </t>
  </si>
  <si>
    <t xml:space="preserve">IQ64 </t>
  </si>
  <si>
    <t xml:space="preserve">IQ70 </t>
  </si>
  <si>
    <t xml:space="preserve">IQ90 </t>
  </si>
  <si>
    <t>IQ1B HP, HT, QT, QG, QM</t>
  </si>
  <si>
    <t xml:space="preserve">IQ2H </t>
  </si>
  <si>
    <t xml:space="preserve">IQ4H </t>
  </si>
  <si>
    <t>PQ60 HZ, HE, HP, HT, HG, HM</t>
  </si>
  <si>
    <t>PQ50 QG</t>
  </si>
  <si>
    <t xml:space="preserve">PQ40 </t>
  </si>
  <si>
    <t xml:space="preserve">PQ55 </t>
  </si>
  <si>
    <t>PQ48 QG, QN</t>
  </si>
  <si>
    <t>IQ24 HZ, HE</t>
  </si>
  <si>
    <t>PQ60 QP, QT, QG, QM</t>
  </si>
  <si>
    <t>PQ60 ET, EG, EM, EK</t>
  </si>
  <si>
    <t>PQ48 HT, HG, HM, HK</t>
  </si>
  <si>
    <t>Equations for NQ40 EP, QT, HG converters</t>
  </si>
  <si>
    <t>Equations for MCOTS-N-12-Q3P1N-QT converter</t>
  </si>
  <si>
    <t>Desired Output Voltage (-Volts)</t>
  </si>
  <si>
    <r>
      <t>Trim Resistor (</t>
    </r>
    <r>
      <rPr>
        <b/>
        <sz val="11"/>
        <color rgb="FFFF0000"/>
        <rFont val="Arial"/>
        <family val="2"/>
      </rPr>
      <t>k</t>
    </r>
    <r>
      <rPr>
        <b/>
        <sz val="11"/>
        <color theme="1"/>
        <rFont val="Arial"/>
        <family val="2"/>
      </rPr>
      <t>Ohms)</t>
    </r>
  </si>
  <si>
    <r>
      <t>(</t>
    </r>
    <r>
      <rPr>
        <sz val="11"/>
        <color rgb="FFFF0000"/>
        <rFont val="Arial"/>
        <family val="2"/>
      </rPr>
      <t>k</t>
    </r>
    <r>
      <rPr>
        <sz val="11"/>
        <color theme="1"/>
        <rFont val="Arial"/>
        <family val="2"/>
      </rPr>
      <t>Ω)     actual output voltage is</t>
    </r>
  </si>
  <si>
    <t>To find trim resistor or voltage for 
Positive Outputs (0.8V to 5.0V)</t>
  </si>
  <si>
    <t>To find trim resistor or voltage
Negative Output (-3V to -13.475V)</t>
  </si>
  <si>
    <t>No trimming with voltage</t>
  </si>
  <si>
    <t xml:space="preserve"> When the trim pin is open, the module will produce no output voltage</t>
  </si>
  <si>
    <t xml:space="preserve"> When the trim pin is open, the module will produce 0.8 V</t>
  </si>
  <si>
    <t xml:space="preserve"> When the trim pin is open, the module will produce -13.475 V</t>
  </si>
  <si>
    <t>Go To Product Page!</t>
  </si>
  <si>
    <t>NQ 40 EP, QT, HG</t>
  </si>
  <si>
    <t>NQ 40 EG, ET, QG</t>
  </si>
  <si>
    <t>MCOTS N 12 Q3P1N QT</t>
  </si>
  <si>
    <t>Equations for MCOTS-C-270-40/60-FE</t>
  </si>
  <si>
    <t>Maximum Output (Volts)</t>
  </si>
  <si>
    <t>MCOTS 270 FE</t>
  </si>
  <si>
    <t>MCOTS 270H, HL</t>
  </si>
  <si>
    <t>RQ (HZ)</t>
  </si>
  <si>
    <t>Equations for all RQ (QG, QM ,QT)</t>
  </si>
  <si>
    <t>Equations for all RQ (HE,HG, HP)</t>
  </si>
  <si>
    <t>RQ (HE, HG, HP)</t>
  </si>
  <si>
    <t>RQ (QG, QM,QT)</t>
  </si>
  <si>
    <t>Equations for RQ (HZ)</t>
  </si>
  <si>
    <t>IQ24 HP, HT, QT, QG, QM, SG</t>
  </si>
  <si>
    <t>IQ48 HP,HT, QT, QG, SG</t>
  </si>
  <si>
    <t>MCOTS 28 HP, QE, QT, SG</t>
  </si>
  <si>
    <t>MCOTS 48 HP, QT, SG</t>
  </si>
  <si>
    <t>MCOTS 270 HE</t>
  </si>
  <si>
    <t>Equations for MCOTS-C-270-40/60-HE</t>
  </si>
  <si>
    <t>Maximum Output 
(Volts)</t>
  </si>
  <si>
    <t>Desired Output Voltage 
(Volts)</t>
  </si>
  <si>
    <r>
      <t>Trim Up Resistor (</t>
    </r>
    <r>
      <rPr>
        <b/>
        <sz val="11"/>
        <color rgb="FFFF0000"/>
        <rFont val="Arial"/>
        <family val="2"/>
      </rPr>
      <t>k</t>
    </r>
    <r>
      <rPr>
        <b/>
        <sz val="11"/>
        <color theme="1"/>
        <rFont val="Arial"/>
        <family val="2"/>
      </rPr>
      <t>Ohms)</t>
    </r>
  </si>
  <si>
    <r>
      <t>Trim Down Resistor (</t>
    </r>
    <r>
      <rPr>
        <b/>
        <sz val="11"/>
        <color rgb="FFFF0000"/>
        <rFont val="Arial"/>
        <family val="2"/>
      </rPr>
      <t>k</t>
    </r>
    <r>
      <rPr>
        <b/>
        <sz val="11"/>
        <color theme="1"/>
        <rFont val="Arial"/>
        <family val="2"/>
      </rPr>
      <t>Ohms)</t>
    </r>
  </si>
  <si>
    <t>MCOTS-C-270-40-HE</t>
  </si>
  <si>
    <t>MCOTS-C-270-60-HE</t>
  </si>
  <si>
    <t>MCOTS 270-400 HT, HP</t>
  </si>
  <si>
    <t>MCOTS 150 QT</t>
  </si>
  <si>
    <t>MCOTS 270 HP</t>
  </si>
  <si>
    <t>MCOTS 28V HY</t>
  </si>
  <si>
    <t>MCOTS 270F DM, SK</t>
  </si>
  <si>
    <t>(Ω) actual output voltage is</t>
  </si>
  <si>
    <t>Equations for NQ40 EG, ET, QG converters</t>
  </si>
  <si>
    <t>MCOTS 390 DM, SK</t>
  </si>
  <si>
    <t>Nominal Output Voltage</t>
  </si>
  <si>
    <t xml:space="preserve"> </t>
  </si>
  <si>
    <r>
      <t xml:space="preserve">To find trim resistor or voltage for 
</t>
    </r>
    <r>
      <rPr>
        <b/>
        <sz val="11"/>
        <color theme="0"/>
        <rFont val="Calibri"/>
        <family val="2"/>
      </rPr>
      <t>±</t>
    </r>
    <r>
      <rPr>
        <b/>
        <sz val="11"/>
        <color theme="0"/>
        <rFont val="Arial"/>
        <family val="2"/>
      </rPr>
      <t xml:space="preserve">12V or </t>
    </r>
    <r>
      <rPr>
        <b/>
        <sz val="11"/>
        <color theme="0"/>
        <rFont val="Calibri"/>
        <family val="2"/>
      </rPr>
      <t>±</t>
    </r>
    <r>
      <rPr>
        <b/>
        <sz val="11"/>
        <color theme="0"/>
        <rFont val="Arial"/>
        <family val="2"/>
      </rPr>
      <t>15V Nominal Output</t>
    </r>
  </si>
  <si>
    <t>To find trim resistor or voltage for
+5V Output</t>
  </si>
  <si>
    <t xml:space="preserve"> When the trim pin is open, the module will produce Nominal Output</t>
  </si>
  <si>
    <t>Trim Up Resistor</t>
  </si>
  <si>
    <t>MCOTS 270-05[12/15]T HT</t>
  </si>
  <si>
    <t>Equations for MCOTS-C-270-05[12/15]T-HT converter</t>
  </si>
  <si>
    <t>MCOTS 270 800/1000 FT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</si>
</sst>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"/>
    <numFmt numFmtId="166" formatCode="#,##0.000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Arial"/>
      <family val="2"/>
    </font>
    <font>
      <sz val="11"/>
      <color theme="0"/>
      <name val="Arial Black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0"/>
      <name val="Arial"/>
      <family val="2"/>
    </font>
    <font>
      <b/>
      <sz val="11"/>
      <color rgb="FFFF0000"/>
      <name val="Arial"/>
      <family val="2"/>
    </font>
    <font>
      <sz val="11"/>
      <color rgb="FFFF0000"/>
      <name val="Arial"/>
      <family val="2"/>
    </font>
    <font>
      <sz val="10"/>
      <color theme="1"/>
      <name val="Arial"/>
      <family val="2"/>
    </font>
    <font>
      <u/>
      <sz val="14"/>
      <color theme="10"/>
      <name val="Calibri"/>
      <family val="2"/>
      <scheme val="minor"/>
    </font>
    <font>
      <b/>
      <sz val="11"/>
      <name val="Arial"/>
      <family val="2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name val="Arial"/>
      <family val="2"/>
    </font>
    <font>
      <b/>
      <sz val="11"/>
      <color theme="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15">
    <xf numFmtId="0" fontId="0" fillId="0" borderId="0" xfId="0"/>
    <xf numFmtId="0" fontId="2" fillId="0" borderId="0" xfId="1" applyFill="1" applyBorder="1" applyAlignment="1"/>
    <xf numFmtId="0" fontId="2" fillId="0" borderId="0" xfId="1" applyFill="1" applyBorder="1"/>
    <xf numFmtId="0" fontId="2" fillId="0" borderId="0" xfId="1" applyFill="1" applyBorder="1" applyAlignment="1">
      <alignment horizontal="left"/>
    </xf>
    <xf numFmtId="0" fontId="2" fillId="0" borderId="0" xfId="1" applyFill="1" applyBorder="1" applyAlignment="1">
      <alignment wrapText="1"/>
    </xf>
    <xf numFmtId="1" fontId="2" fillId="0" borderId="0" xfId="1" applyNumberFormat="1" applyFill="1" applyBorder="1" applyAlignment="1"/>
    <xf numFmtId="0" fontId="1" fillId="0" borderId="0" xfId="0" applyFont="1"/>
    <xf numFmtId="0" fontId="0" fillId="0" borderId="0" xfId="0" applyAlignment="1">
      <alignment horizontal="center" vertical="center"/>
    </xf>
    <xf numFmtId="0" fontId="2" fillId="0" borderId="0" xfId="1" applyFill="1" applyBorder="1" applyAlignment="1">
      <alignment horizontal="left" indent="1"/>
    </xf>
    <xf numFmtId="0" fontId="2" fillId="0" borderId="0" xfId="1" applyFill="1" applyAlignment="1">
      <alignment horizontal="left" indent="1"/>
    </xf>
    <xf numFmtId="0" fontId="0" fillId="0" borderId="0" xfId="0" applyAlignment="1">
      <alignment horizontal="left" indent="1"/>
    </xf>
    <xf numFmtId="0" fontId="2" fillId="0" borderId="0" xfId="1" applyFill="1" applyBorder="1" applyAlignment="1">
      <alignment horizontal="left" wrapText="1" indent="1"/>
    </xf>
    <xf numFmtId="0" fontId="7" fillId="5" borderId="1" xfId="0" applyFont="1" applyFill="1" applyBorder="1" applyAlignment="1">
      <alignment horizontal="left" indent="1"/>
    </xf>
    <xf numFmtId="0" fontId="6" fillId="0" borderId="1" xfId="0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horizontal="center" vertical="center"/>
    </xf>
    <xf numFmtId="1" fontId="5" fillId="0" borderId="0" xfId="0" applyNumberFormat="1" applyFont="1"/>
    <xf numFmtId="2" fontId="5" fillId="0" borderId="0" xfId="0" applyNumberFormat="1" applyFont="1"/>
    <xf numFmtId="3" fontId="5" fillId="3" borderId="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2" fontId="5" fillId="0" borderId="0" xfId="0" applyNumberFormat="1" applyFont="1" applyAlignment="1">
      <alignment horizontal="center" vertical="center"/>
    </xf>
    <xf numFmtId="1" fontId="5" fillId="3" borderId="1" xfId="0" applyNumberFormat="1" applyFont="1" applyFill="1" applyBorder="1" applyAlignment="1">
      <alignment horizontal="center" vertical="center"/>
    </xf>
    <xf numFmtId="1" fontId="5" fillId="3" borderId="1" xfId="0" applyNumberFormat="1" applyFont="1" applyFill="1" applyBorder="1" applyAlignment="1">
      <alignment wrapText="1"/>
    </xf>
    <xf numFmtId="164" fontId="5" fillId="3" borderId="1" xfId="0" applyNumberFormat="1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164" fontId="5" fillId="2" borderId="1" xfId="0" applyNumberFormat="1" applyFont="1" applyFill="1" applyBorder="1" applyAlignment="1" applyProtection="1">
      <alignment horizontal="center" vertical="center"/>
      <protection locked="0"/>
    </xf>
    <xf numFmtId="164" fontId="5" fillId="2" borderId="8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2" fontId="5" fillId="2" borderId="1" xfId="0" applyNumberFormat="1" applyFont="1" applyFill="1" applyBorder="1" applyAlignment="1" applyProtection="1">
      <alignment horizontal="center" vertical="center"/>
      <protection locked="0"/>
    </xf>
    <xf numFmtId="1" fontId="5" fillId="2" borderId="1" xfId="0" applyNumberFormat="1" applyFont="1" applyFill="1" applyBorder="1" applyAlignment="1" applyProtection="1">
      <alignment horizontal="center" vertical="center"/>
      <protection locked="0"/>
    </xf>
    <xf numFmtId="2" fontId="5" fillId="2" borderId="1" xfId="0" applyNumberFormat="1" applyFont="1" applyFill="1" applyBorder="1" applyAlignment="1" applyProtection="1">
      <alignment horizontal="center" wrapText="1"/>
      <protection locked="0"/>
    </xf>
    <xf numFmtId="2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5" fillId="2" borderId="1" xfId="0" applyNumberFormat="1" applyFont="1" applyFill="1" applyBorder="1" applyProtection="1">
      <protection locked="0"/>
    </xf>
    <xf numFmtId="2" fontId="5" fillId="2" borderId="1" xfId="0" applyNumberFormat="1" applyFont="1" applyFill="1" applyBorder="1" applyProtection="1">
      <protection locked="0"/>
    </xf>
    <xf numFmtId="2" fontId="5" fillId="3" borderId="1" xfId="0" applyNumberFormat="1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164" fontId="5" fillId="3" borderId="8" xfId="0" applyNumberFormat="1" applyFont="1" applyFill="1" applyBorder="1" applyAlignment="1">
      <alignment horizontal="center" vertical="center"/>
    </xf>
    <xf numFmtId="164" fontId="10" fillId="3" borderId="1" xfId="0" applyNumberFormat="1" applyFont="1" applyFill="1" applyBorder="1" applyAlignment="1">
      <alignment horizontal="center" vertical="center"/>
    </xf>
    <xf numFmtId="165" fontId="5" fillId="2" borderId="8" xfId="0" applyNumberFormat="1" applyFont="1" applyFill="1" applyBorder="1" applyAlignment="1" applyProtection="1">
      <alignment horizontal="center" vertical="center"/>
      <protection locked="0"/>
    </xf>
    <xf numFmtId="165" fontId="5" fillId="3" borderId="1" xfId="0" applyNumberFormat="1" applyFont="1" applyFill="1" applyBorder="1" applyAlignment="1">
      <alignment horizontal="center" vertical="center"/>
    </xf>
    <xf numFmtId="2" fontId="5" fillId="3" borderId="1" xfId="0" applyNumberFormat="1" applyFont="1" applyFill="1" applyBorder="1"/>
    <xf numFmtId="2" fontId="5" fillId="3" borderId="1" xfId="0" applyNumberFormat="1" applyFont="1" applyFill="1" applyBorder="1" applyAlignment="1">
      <alignment wrapText="1"/>
    </xf>
    <xf numFmtId="0" fontId="5" fillId="0" borderId="9" xfId="0" applyFont="1" applyBorder="1" applyAlignment="1">
      <alignment horizontal="center" vertical="center"/>
    </xf>
    <xf numFmtId="165" fontId="5" fillId="0" borderId="0" xfId="0" applyNumberFormat="1" applyFont="1" applyAlignment="1" applyProtection="1">
      <alignment horizontal="center" vertical="center"/>
      <protection locked="0"/>
    </xf>
    <xf numFmtId="164" fontId="5" fillId="0" borderId="0" xfId="0" applyNumberFormat="1" applyFont="1" applyAlignment="1">
      <alignment horizontal="center" vertical="center"/>
    </xf>
    <xf numFmtId="0" fontId="2" fillId="0" borderId="1" xfId="1" applyFill="1" applyBorder="1" applyAlignment="1" applyProtection="1">
      <alignment horizontal="left" indent="1"/>
      <protection locked="0"/>
    </xf>
    <xf numFmtId="0" fontId="11" fillId="0" borderId="0" xfId="1" applyFont="1" applyAlignment="1" applyProtection="1">
      <protection locked="0"/>
    </xf>
    <xf numFmtId="164" fontId="0" fillId="0" borderId="0" xfId="0" applyNumberFormat="1"/>
    <xf numFmtId="0" fontId="11" fillId="0" borderId="0" xfId="1" applyFont="1" applyAlignment="1" applyProtection="1">
      <alignment horizontal="center"/>
      <protection locked="0"/>
    </xf>
    <xf numFmtId="0" fontId="2" fillId="0" borderId="1" xfId="1" applyFill="1" applyBorder="1" applyAlignment="1">
      <alignment horizontal="left" indent="1"/>
    </xf>
    <xf numFmtId="0" fontId="2" fillId="0" borderId="0" xfId="1" quotePrefix="1" applyFill="1" applyBorder="1"/>
    <xf numFmtId="0" fontId="10" fillId="3" borderId="1" xfId="0" applyFont="1" applyFill="1" applyBorder="1" applyAlignment="1" applyProtection="1">
      <alignment horizontal="center" vertical="center"/>
      <protection hidden="1"/>
    </xf>
    <xf numFmtId="1" fontId="5" fillId="3" borderId="1" xfId="0" applyNumberFormat="1" applyFont="1" applyFill="1" applyBorder="1" applyAlignment="1" applyProtection="1">
      <alignment horizontal="center" vertical="center"/>
      <protection hidden="1"/>
    </xf>
    <xf numFmtId="2" fontId="5" fillId="3" borderId="1" xfId="0" applyNumberFormat="1" applyFont="1" applyFill="1" applyBorder="1" applyAlignment="1" applyProtection="1">
      <alignment horizontal="center" vertical="center"/>
      <protection hidden="1"/>
    </xf>
    <xf numFmtId="0" fontId="13" fillId="0" borderId="0" xfId="0" applyFont="1"/>
    <xf numFmtId="0" fontId="5" fillId="0" borderId="0" xfId="0" applyFont="1" applyAlignment="1">
      <alignment horizontal="center" vertical="center"/>
    </xf>
    <xf numFmtId="0" fontId="14" fillId="0" borderId="0" xfId="0" applyFont="1"/>
    <xf numFmtId="0" fontId="14" fillId="0" borderId="0" xfId="0" applyFont="1" applyAlignment="1">
      <alignment horizontal="center" vertical="center"/>
    </xf>
    <xf numFmtId="0" fontId="2" fillId="0" borderId="1" xfId="1" applyFill="1" applyBorder="1" applyAlignment="1" applyProtection="1">
      <alignment horizontal="left" indent="1"/>
    </xf>
    <xf numFmtId="0" fontId="0" fillId="0" borderId="1" xfId="0" applyBorder="1" applyAlignment="1" applyProtection="1">
      <alignment horizontal="left" indent="1"/>
    </xf>
    <xf numFmtId="4" fontId="5" fillId="3" borderId="1" xfId="0" applyNumberFormat="1" applyFont="1" applyFill="1" applyBorder="1" applyAlignment="1" applyProtection="1">
      <alignment horizontal="center" vertical="center"/>
      <protection hidden="1"/>
    </xf>
    <xf numFmtId="164" fontId="5" fillId="3" borderId="1" xfId="0" applyNumberFormat="1" applyFont="1" applyFill="1" applyBorder="1" applyAlignment="1" applyProtection="1">
      <alignment horizontal="center" vertical="center"/>
      <protection hidden="1"/>
    </xf>
    <xf numFmtId="0" fontId="13" fillId="0" borderId="0" xfId="0" applyFont="1" applyAlignment="1" applyProtection="1">
      <alignment horizontal="center" vertical="center"/>
    </xf>
    <xf numFmtId="0" fontId="13" fillId="0" borderId="0" xfId="0" applyFont="1" applyAlignment="1" applyProtection="1">
      <alignment horizontal="center" vertical="center"/>
      <protection hidden="1"/>
    </xf>
    <xf numFmtId="0" fontId="13" fillId="0" borderId="0" xfId="0" applyFont="1" applyProtection="1">
      <protection hidden="1"/>
    </xf>
    <xf numFmtId="0" fontId="1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5" fillId="0" borderId="5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5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Alignment="1">
      <alignment horizontal="center" vertical="center"/>
    </xf>
    <xf numFmtId="166" fontId="5" fillId="3" borderId="1" xfId="0" applyNumberFormat="1" applyFont="1" applyFill="1" applyBorder="1" applyAlignment="1" applyProtection="1">
      <alignment horizontal="center" vertical="center"/>
      <protection hidden="1"/>
    </xf>
    <xf numFmtId="0" fontId="4" fillId="4" borderId="2" xfId="0" applyFont="1" applyFill="1" applyBorder="1" applyAlignment="1">
      <alignment horizontal="center"/>
    </xf>
    <xf numFmtId="0" fontId="11" fillId="0" borderId="0" xfId="1" applyFont="1" applyAlignment="1" applyProtection="1">
      <alignment horizontal="center"/>
      <protection locked="0"/>
    </xf>
    <xf numFmtId="0" fontId="7" fillId="4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7" fillId="5" borderId="3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6" fillId="0" borderId="0" xfId="0" applyFont="1" applyAlignment="1">
      <alignment horizontal="center"/>
    </xf>
    <xf numFmtId="0" fontId="7" fillId="4" borderId="7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12" fillId="6" borderId="3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7" fillId="4" borderId="0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41">
    <dxf>
      <font>
        <strike/>
      </font>
      <fill>
        <patternFill>
          <bgColor rgb="FFFF0000"/>
        </patternFill>
      </fill>
    </dxf>
    <dxf>
      <font>
        <strike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strike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strike/>
      </font>
      <fill>
        <patternFill>
          <bgColor rgb="FFFF0000"/>
        </patternFill>
      </fill>
    </dxf>
    <dxf>
      <font>
        <color rgb="FFFFFFCC"/>
      </font>
      <fill>
        <patternFill>
          <bgColor rgb="FFFFFFCC"/>
        </patternFill>
      </fill>
    </dxf>
    <dxf>
      <font>
        <color rgb="FFFF0000"/>
      </font>
      <fill>
        <patternFill>
          <bgColor rgb="FFFFFFCC"/>
        </patternFill>
      </fill>
    </dxf>
    <dxf>
      <font>
        <color rgb="FFFF0000"/>
      </font>
      <fill>
        <patternFill>
          <bgColor rgb="FFFFFFCC"/>
        </patternFill>
      </fill>
    </dxf>
    <dxf>
      <font>
        <color rgb="FFFFFFCC"/>
      </font>
      <fill>
        <patternFill>
          <bgColor rgb="FFFFFFCC"/>
        </patternFill>
      </fill>
    </dxf>
    <dxf>
      <font>
        <color rgb="FFFFFFCC"/>
      </font>
      <fill>
        <patternFill>
          <bgColor rgb="FFFFFFCC"/>
        </patternFill>
      </fill>
    </dxf>
    <dxf>
      <font>
        <color rgb="FFFFFFCC"/>
      </font>
      <fill>
        <patternFill>
          <bgColor rgb="FFFFFFCC"/>
        </patternFill>
      </fill>
    </dxf>
    <dxf>
      <font>
        <color rgb="FFFFFFCC"/>
      </font>
      <fill>
        <patternFill>
          <bgColor rgb="FFFFFFCC"/>
        </patternFill>
      </fill>
    </dxf>
    <dxf>
      <font>
        <color rgb="FFFF0000"/>
      </font>
      <fill>
        <patternFill>
          <bgColor rgb="FFFFFFCC"/>
        </patternFill>
      </fill>
    </dxf>
    <dxf>
      <font>
        <color rgb="FFFF0000"/>
      </font>
      <fill>
        <patternFill>
          <bgColor rgb="FFFFFFCC"/>
        </patternFill>
      </fill>
    </dxf>
    <dxf>
      <font>
        <color rgb="FFFFFFCC"/>
      </font>
      <fill>
        <patternFill>
          <bgColor rgb="FFFFFFCC"/>
        </patternFill>
      </fill>
    </dxf>
    <dxf>
      <font>
        <color rgb="FFFFFFCC"/>
      </font>
      <fill>
        <patternFill>
          <bgColor rgb="FFFFFFCC"/>
        </patternFill>
      </fill>
    </dxf>
    <dxf>
      <font>
        <color rgb="FFFFFFCC"/>
      </font>
      <fill>
        <patternFill>
          <bgColor rgb="FFFFFFCC"/>
        </patternFill>
      </fill>
    </dxf>
    <dxf>
      <font>
        <color rgb="FFFF0000"/>
      </font>
      <fill>
        <patternFill>
          <bgColor rgb="FFFFFFCC"/>
        </patternFill>
      </fill>
    </dxf>
    <dxf>
      <font>
        <color rgb="FFFFFFCC"/>
      </font>
      <fill>
        <patternFill>
          <bgColor rgb="FFFFFF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FFCC"/>
      </font>
      <fill>
        <patternFill>
          <bgColor rgb="FFFFFF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FFCC"/>
      </font>
      <fill>
        <patternFill>
          <bgColor rgb="FFFFFFCC"/>
        </patternFill>
      </fill>
    </dxf>
    <dxf>
      <font>
        <color rgb="FFFFFFCC"/>
      </font>
      <fill>
        <patternFill>
          <bgColor rgb="FFFFFFCC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FFFFCC"/>
      </font>
      <fill>
        <patternFill>
          <bgColor rgb="FFFFFF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FFCC"/>
      </font>
      <fill>
        <patternFill>
          <bgColor rgb="FFFFFFCC"/>
        </patternFill>
      </fill>
    </dxf>
    <dxf>
      <font>
        <color rgb="FFFFFFCC"/>
      </font>
      <fill>
        <patternFill>
          <bgColor rgb="FFFFFFCC"/>
        </patternFill>
      </fill>
    </dxf>
  </dxfs>
  <tableStyles count="0" defaultTableStyle="TableStyleMedium2" defaultPivotStyle="PivotStyleLight16"/>
  <colors>
    <mruColors>
      <color rgb="FFFFFFCC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tiff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2.png"/><Relationship Id="rId1" Type="http://schemas.openxmlformats.org/officeDocument/2006/relationships/image" Target="../media/image1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5.png"/><Relationship Id="rId1" Type="http://schemas.openxmlformats.org/officeDocument/2006/relationships/image" Target="../media/image14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11</xdr:row>
      <xdr:rowOff>0</xdr:rowOff>
    </xdr:from>
    <xdr:to>
      <xdr:col>2</xdr:col>
      <xdr:colOff>790575</xdr:colOff>
      <xdr:row>21</xdr:row>
      <xdr:rowOff>152137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DE4617F-A7CA-42E8-810F-3CD3540B84F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7018" r="4374"/>
        <a:stretch/>
      </xdr:blipFill>
      <xdr:spPr>
        <a:xfrm>
          <a:off x="0" y="2438400"/>
          <a:ext cx="3038475" cy="2104762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1000125</xdr:colOff>
      <xdr:row>9</xdr:row>
      <xdr:rowOff>161925</xdr:rowOff>
    </xdr:from>
    <xdr:to>
      <xdr:col>8</xdr:col>
      <xdr:colOff>448407</xdr:colOff>
      <xdr:row>28</xdr:row>
      <xdr:rowOff>57150</xdr:rowOff>
    </xdr:to>
    <xdr:sp macro="" textlink="">
      <xdr:nvSpPr>
        <xdr:cNvPr id="10244" name="AutoShape 4">
          <a:extLst>
            <a:ext uri="{FF2B5EF4-FFF2-40B4-BE49-F238E27FC236}">
              <a16:creationId xmlns:a16="http://schemas.microsoft.com/office/drawing/2014/main" id="{364844CA-7E57-4B65-BAD1-BD48E971A1F3}"/>
            </a:ext>
          </a:extLst>
        </xdr:cNvPr>
        <xdr:cNvSpPr>
          <a:spLocks noChangeAspect="1" noChangeArrowheads="1"/>
        </xdr:cNvSpPr>
      </xdr:nvSpPr>
      <xdr:spPr bwMode="auto">
        <a:xfrm>
          <a:off x="1000125" y="2676525"/>
          <a:ext cx="5457825" cy="3609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5</xdr:col>
      <xdr:colOff>123264</xdr:colOff>
      <xdr:row>23</xdr:row>
      <xdr:rowOff>84150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352A8271-DF28-4B25-BBF5-632023BA15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381250"/>
          <a:ext cx="4476189" cy="265590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11</xdr:row>
      <xdr:rowOff>1336</xdr:rowOff>
    </xdr:from>
    <xdr:to>
      <xdr:col>3</xdr:col>
      <xdr:colOff>890905</xdr:colOff>
      <xdr:row>22</xdr:row>
      <xdr:rowOff>60960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7240" y="2759776"/>
          <a:ext cx="3921760" cy="2117024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13</xdr:row>
      <xdr:rowOff>0</xdr:rowOff>
    </xdr:from>
    <xdr:to>
      <xdr:col>3</xdr:col>
      <xdr:colOff>247238</xdr:colOff>
      <xdr:row>24</xdr:row>
      <xdr:rowOff>9256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819400"/>
          <a:ext cx="3523838" cy="2152381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13</xdr:row>
      <xdr:rowOff>0</xdr:rowOff>
    </xdr:from>
    <xdr:to>
      <xdr:col>3</xdr:col>
      <xdr:colOff>243625</xdr:colOff>
      <xdr:row>24</xdr:row>
      <xdr:rowOff>9256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682240"/>
          <a:ext cx="3512408" cy="2066656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12</xdr:row>
      <xdr:rowOff>0</xdr:rowOff>
    </xdr:from>
    <xdr:to>
      <xdr:col>3</xdr:col>
      <xdr:colOff>831046</xdr:colOff>
      <xdr:row>22</xdr:row>
      <xdr:rowOff>124101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E8DAC4B-26C0-4F19-8F5D-C19C9F8378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628900"/>
          <a:ext cx="4126696" cy="2076726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12</xdr:row>
      <xdr:rowOff>1</xdr:rowOff>
    </xdr:from>
    <xdr:to>
      <xdr:col>5</xdr:col>
      <xdr:colOff>603069</xdr:colOff>
      <xdr:row>20</xdr:row>
      <xdr:rowOff>76201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721F5B48-F988-4C57-847D-78531A99B54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69344" y="3000376"/>
          <a:ext cx="2377100" cy="16002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</xdr:row>
      <xdr:rowOff>0</xdr:rowOff>
    </xdr:from>
    <xdr:to>
      <xdr:col>3</xdr:col>
      <xdr:colOff>8096</xdr:colOff>
      <xdr:row>20</xdr:row>
      <xdr:rowOff>76200</xdr:rowOff>
    </xdr:to>
    <xdr:pic>
      <xdr:nvPicPr>
        <xdr:cNvPr id="12" name="braintek">
          <a:extLst>
            <a:ext uri="{FF2B5EF4-FFF2-40B4-BE49-F238E27FC236}">
              <a16:creationId xmlns:a16="http://schemas.microsoft.com/office/drawing/2014/main" id="{D0098AAC-FDFD-4552-B0FC-7A7EDAB9152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333750"/>
          <a:ext cx="2379821" cy="160020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11</xdr:row>
      <xdr:rowOff>0</xdr:rowOff>
    </xdr:from>
    <xdr:to>
      <xdr:col>2</xdr:col>
      <xdr:colOff>706375</xdr:colOff>
      <xdr:row>22</xdr:row>
      <xdr:rowOff>66410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AD436EB-226D-4A39-951B-4DDD343A55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438400"/>
          <a:ext cx="2954275" cy="2209535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11</xdr:row>
      <xdr:rowOff>0</xdr:rowOff>
    </xdr:from>
    <xdr:to>
      <xdr:col>3</xdr:col>
      <xdr:colOff>151988</xdr:colOff>
      <xdr:row>22</xdr:row>
      <xdr:rowOff>9256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D61C1DA7-BF7C-4E6E-957D-12882CB3FE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438400"/>
          <a:ext cx="3523838" cy="2152381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131360</xdr:colOff>
      <xdr:row>11</xdr:row>
      <xdr:rowOff>0</xdr:rowOff>
    </xdr:from>
    <xdr:to>
      <xdr:col>8</xdr:col>
      <xdr:colOff>1035842</xdr:colOff>
      <xdr:row>15</xdr:row>
      <xdr:rowOff>171450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9D828992-F58B-4363-A729-AA480C63FA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51260" y="2724150"/>
          <a:ext cx="3152382" cy="1514475"/>
        </a:xfrm>
        <a:prstGeom prst="rect">
          <a:avLst/>
        </a:prstGeom>
      </xdr:spPr>
    </xdr:pic>
    <xdr:clientData/>
  </xdr:twoCellAnchor>
  <xdr:twoCellAnchor editAs="oneCell">
    <xdr:from>
      <xdr:col>6</xdr:col>
      <xdr:colOff>134102</xdr:colOff>
      <xdr:row>3</xdr:row>
      <xdr:rowOff>0</xdr:rowOff>
    </xdr:from>
    <xdr:to>
      <xdr:col>8</xdr:col>
      <xdr:colOff>1041796</xdr:colOff>
      <xdr:row>7</xdr:row>
      <xdr:rowOff>171450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7716156A-CFD0-4A34-92C1-D4759D3E3D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954002" y="619125"/>
          <a:ext cx="3155594" cy="1514475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11</xdr:row>
      <xdr:rowOff>0</xdr:rowOff>
    </xdr:from>
    <xdr:to>
      <xdr:col>2</xdr:col>
      <xdr:colOff>1003789</xdr:colOff>
      <xdr:row>19</xdr:row>
      <xdr:rowOff>184018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1419D461-2A52-4D87-B62F-EEC4EE2808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39865"/>
          <a:ext cx="3245827" cy="17593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11</xdr:row>
      <xdr:rowOff>0</xdr:rowOff>
    </xdr:from>
    <xdr:to>
      <xdr:col>3</xdr:col>
      <xdr:colOff>151988</xdr:colOff>
      <xdr:row>22</xdr:row>
      <xdr:rowOff>9256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F5F7A74-B2CD-400F-87AD-1DBBC2BD7F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438400"/>
          <a:ext cx="3523838" cy="215238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11</xdr:row>
      <xdr:rowOff>0</xdr:rowOff>
    </xdr:from>
    <xdr:to>
      <xdr:col>3</xdr:col>
      <xdr:colOff>580560</xdr:colOff>
      <xdr:row>21</xdr:row>
      <xdr:rowOff>144706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B9D05CE-5671-431E-BCB5-B29654D495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438400"/>
          <a:ext cx="3952410" cy="209733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47625</xdr:colOff>
      <xdr:row>2</xdr:row>
      <xdr:rowOff>180975</xdr:rowOff>
    </xdr:from>
    <xdr:to>
      <xdr:col>9</xdr:col>
      <xdr:colOff>66675</xdr:colOff>
      <xdr:row>9</xdr:row>
      <xdr:rowOff>19050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67525" y="609600"/>
          <a:ext cx="3390900" cy="15621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10</xdr:row>
      <xdr:rowOff>0</xdr:rowOff>
    </xdr:from>
    <xdr:to>
      <xdr:col>3</xdr:col>
      <xdr:colOff>780655</xdr:colOff>
      <xdr:row>16</xdr:row>
      <xdr:rowOff>152232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286000"/>
          <a:ext cx="3161905" cy="134285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10</xdr:row>
      <xdr:rowOff>0</xdr:rowOff>
    </xdr:from>
    <xdr:to>
      <xdr:col>3</xdr:col>
      <xdr:colOff>780655</xdr:colOff>
      <xdr:row>16</xdr:row>
      <xdr:rowOff>152232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286000"/>
          <a:ext cx="3161905" cy="134285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10</xdr:row>
      <xdr:rowOff>9525</xdr:rowOff>
    </xdr:from>
    <xdr:to>
      <xdr:col>3</xdr:col>
      <xdr:colOff>781050</xdr:colOff>
      <xdr:row>18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543175"/>
          <a:ext cx="3390900" cy="15621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10</xdr:row>
      <xdr:rowOff>0</xdr:rowOff>
    </xdr:from>
    <xdr:to>
      <xdr:col>4</xdr:col>
      <xdr:colOff>42462</xdr:colOff>
      <xdr:row>22</xdr:row>
      <xdr:rowOff>25527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C5DE7CC-9BB3-41E2-9349-E7FA374A4B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466975"/>
          <a:ext cx="3557187" cy="2359152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10</xdr:row>
      <xdr:rowOff>0</xdr:rowOff>
    </xdr:from>
    <xdr:to>
      <xdr:col>3</xdr:col>
      <xdr:colOff>823877</xdr:colOff>
      <xdr:row>22</xdr:row>
      <xdr:rowOff>28280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6E20085-1F64-4A56-B88A-6664FB0BAC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466975"/>
          <a:ext cx="3433727" cy="23619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autoPageBreaks="0" fitToPage="1"/>
  </sheetPr>
  <dimension ref="A1:I35"/>
  <sheetViews>
    <sheetView showGridLines="0" showRowColHeaders="0" tabSelected="1" showRuler="0" view="pageLayout" zoomScaleNormal="100" zoomScaleSheetLayoutView="175" workbookViewId="0">
      <selection activeCell="E26" sqref="E26"/>
    </sheetView>
  </sheetViews>
  <sheetFormatPr defaultColWidth="9.140625" defaultRowHeight="15" x14ac:dyDescent="0.25"/>
  <cols>
    <col min="1" max="2" width="27.85546875" bestFit="1" customWidth="1"/>
    <col min="3" max="3" width="24.42578125" bestFit="1" customWidth="1"/>
    <col min="4" max="4" width="16.7109375" bestFit="1" customWidth="1"/>
    <col min="5" max="5" width="22.5703125" bestFit="1" customWidth="1"/>
    <col min="6" max="6" width="12.140625" bestFit="1" customWidth="1"/>
    <col min="8" max="8" width="12.42578125" bestFit="1" customWidth="1"/>
    <col min="9" max="9" width="12.140625" bestFit="1" customWidth="1"/>
    <col min="10" max="10" width="16.7109375" bestFit="1" customWidth="1"/>
  </cols>
  <sheetData>
    <row r="1" spans="1:8" ht="18.75" x14ac:dyDescent="0.4">
      <c r="A1" s="85" t="s">
        <v>0</v>
      </c>
      <c r="B1" s="85"/>
      <c r="C1" s="85"/>
      <c r="D1" s="85"/>
      <c r="E1" s="85"/>
    </row>
    <row r="2" spans="1:8" x14ac:dyDescent="0.25">
      <c r="A2" s="12" t="s">
        <v>7</v>
      </c>
      <c r="B2" s="12" t="s">
        <v>8</v>
      </c>
      <c r="C2" s="12" t="s">
        <v>9</v>
      </c>
      <c r="D2" s="12" t="s">
        <v>20</v>
      </c>
      <c r="E2" s="12" t="s">
        <v>33</v>
      </c>
    </row>
    <row r="3" spans="1:8" x14ac:dyDescent="0.25">
      <c r="A3" s="48" t="s">
        <v>21</v>
      </c>
      <c r="B3" s="48" t="s">
        <v>60</v>
      </c>
      <c r="C3" s="48" t="s">
        <v>106</v>
      </c>
      <c r="D3" s="48" t="s">
        <v>102</v>
      </c>
      <c r="E3" s="48" t="s">
        <v>27</v>
      </c>
      <c r="H3" s="3"/>
    </row>
    <row r="4" spans="1:8" x14ac:dyDescent="0.25">
      <c r="A4" s="48" t="s">
        <v>11</v>
      </c>
      <c r="B4" s="48" t="s">
        <v>61</v>
      </c>
      <c r="C4" s="48" t="s">
        <v>2</v>
      </c>
      <c r="D4" s="48" t="s">
        <v>101</v>
      </c>
      <c r="E4" s="48" t="s">
        <v>91</v>
      </c>
      <c r="F4" s="2"/>
      <c r="H4" s="3"/>
    </row>
    <row r="5" spans="1:8" x14ac:dyDescent="0.25">
      <c r="A5" s="48" t="s">
        <v>12</v>
      </c>
      <c r="B5" s="48" t="s">
        <v>104</v>
      </c>
      <c r="C5" s="48" t="s">
        <v>3</v>
      </c>
      <c r="D5" s="48" t="s">
        <v>98</v>
      </c>
      <c r="E5" s="48" t="s">
        <v>92</v>
      </c>
      <c r="F5" s="2"/>
      <c r="H5" s="3"/>
    </row>
    <row r="6" spans="1:8" x14ac:dyDescent="0.25">
      <c r="A6" s="48" t="s">
        <v>22</v>
      </c>
      <c r="B6" s="48" t="s">
        <v>75</v>
      </c>
      <c r="C6" s="48" t="s">
        <v>14</v>
      </c>
      <c r="D6" s="62"/>
      <c r="E6" s="48" t="s">
        <v>93</v>
      </c>
      <c r="F6" s="2"/>
      <c r="H6" s="3"/>
    </row>
    <row r="7" spans="1:8" x14ac:dyDescent="0.25">
      <c r="A7" s="48" t="s">
        <v>72</v>
      </c>
      <c r="B7" s="48" t="s">
        <v>62</v>
      </c>
      <c r="C7" s="48" t="s">
        <v>119</v>
      </c>
      <c r="D7" s="62"/>
      <c r="E7" s="48" t="s">
        <v>28</v>
      </c>
      <c r="H7" s="3"/>
    </row>
    <row r="8" spans="1:8" x14ac:dyDescent="0.25">
      <c r="A8" s="48" t="s">
        <v>74</v>
      </c>
      <c r="B8" s="48" t="s">
        <v>10</v>
      </c>
      <c r="C8" s="48" t="s">
        <v>4</v>
      </c>
      <c r="D8" s="62"/>
      <c r="E8" s="48" t="s">
        <v>29</v>
      </c>
      <c r="H8" s="2"/>
    </row>
    <row r="9" spans="1:8" x14ac:dyDescent="0.25">
      <c r="A9" s="48" t="s">
        <v>78</v>
      </c>
      <c r="B9" s="48" t="s">
        <v>63</v>
      </c>
      <c r="C9" s="48" t="s">
        <v>15</v>
      </c>
      <c r="D9" s="62"/>
      <c r="E9" s="48" t="s">
        <v>30</v>
      </c>
    </row>
    <row r="10" spans="1:8" x14ac:dyDescent="0.25">
      <c r="A10" s="48" t="s">
        <v>71</v>
      </c>
      <c r="B10" s="48" t="s">
        <v>105</v>
      </c>
      <c r="C10" s="48" t="s">
        <v>5</v>
      </c>
      <c r="D10" s="62"/>
      <c r="E10" s="48" t="s">
        <v>31</v>
      </c>
      <c r="H10" s="3"/>
    </row>
    <row r="11" spans="1:8" x14ac:dyDescent="0.25">
      <c r="A11" s="48" t="s">
        <v>34</v>
      </c>
      <c r="B11" s="48" t="s">
        <v>1</v>
      </c>
      <c r="C11" s="48" t="s">
        <v>107</v>
      </c>
      <c r="D11" s="62"/>
      <c r="E11" s="62"/>
    </row>
    <row r="12" spans="1:8" x14ac:dyDescent="0.25">
      <c r="A12" s="48" t="s">
        <v>73</v>
      </c>
      <c r="B12" s="48" t="s">
        <v>64</v>
      </c>
      <c r="C12" s="48" t="s">
        <v>6</v>
      </c>
      <c r="E12" s="62"/>
      <c r="H12" s="3"/>
    </row>
    <row r="13" spans="1:8" x14ac:dyDescent="0.25">
      <c r="A13" s="48" t="s">
        <v>77</v>
      </c>
      <c r="B13" s="48" t="s">
        <v>65</v>
      </c>
      <c r="C13" s="48" t="s">
        <v>117</v>
      </c>
      <c r="D13" s="62"/>
      <c r="E13" s="62"/>
      <c r="H13" s="3"/>
    </row>
    <row r="14" spans="1:8" x14ac:dyDescent="0.25">
      <c r="A14" s="48" t="s">
        <v>76</v>
      </c>
      <c r="B14" s="48" t="s">
        <v>37</v>
      </c>
      <c r="C14" s="48" t="s">
        <v>18</v>
      </c>
      <c r="D14" s="62"/>
      <c r="E14" s="62"/>
      <c r="H14" s="3"/>
    </row>
    <row r="15" spans="1:8" x14ac:dyDescent="0.25">
      <c r="A15" s="48" t="s">
        <v>35</v>
      </c>
      <c r="B15" s="48" t="s">
        <v>66</v>
      </c>
      <c r="C15" s="48" t="s">
        <v>17</v>
      </c>
      <c r="D15" s="62"/>
      <c r="E15" s="62"/>
      <c r="H15" s="3"/>
    </row>
    <row r="16" spans="1:8" x14ac:dyDescent="0.25">
      <c r="A16" s="48" t="s">
        <v>70</v>
      </c>
      <c r="B16" s="48" t="s">
        <v>67</v>
      </c>
      <c r="C16" s="48" t="s">
        <v>118</v>
      </c>
      <c r="D16" s="62"/>
      <c r="E16" s="62"/>
      <c r="F16" s="2"/>
    </row>
    <row r="17" spans="1:9" x14ac:dyDescent="0.25">
      <c r="A17" s="62"/>
      <c r="B17" s="48" t="s">
        <v>68</v>
      </c>
      <c r="C17" s="48" t="s">
        <v>16</v>
      </c>
      <c r="D17" s="62"/>
      <c r="E17" s="62"/>
      <c r="F17" s="2"/>
      <c r="H17" s="3"/>
    </row>
    <row r="18" spans="1:9" x14ac:dyDescent="0.25">
      <c r="A18" s="62"/>
      <c r="B18" s="48" t="s">
        <v>69</v>
      </c>
      <c r="C18" s="48" t="s">
        <v>19</v>
      </c>
      <c r="D18" s="62"/>
      <c r="E18" s="62"/>
      <c r="F18" s="2"/>
    </row>
    <row r="19" spans="1:9" x14ac:dyDescent="0.25">
      <c r="A19" s="62"/>
      <c r="B19" s="61"/>
      <c r="C19" s="48" t="s">
        <v>108</v>
      </c>
      <c r="D19" s="62"/>
      <c r="E19" s="62"/>
      <c r="F19" s="2"/>
    </row>
    <row r="20" spans="1:9" x14ac:dyDescent="0.25">
      <c r="A20" s="61"/>
      <c r="B20" s="62"/>
      <c r="C20" s="48" t="s">
        <v>96</v>
      </c>
      <c r="D20" s="62"/>
      <c r="E20" s="62"/>
      <c r="H20" s="2"/>
    </row>
    <row r="21" spans="1:9" x14ac:dyDescent="0.25">
      <c r="A21" s="61"/>
      <c r="B21" s="62"/>
      <c r="C21" s="48" t="s">
        <v>97</v>
      </c>
      <c r="D21" s="62"/>
      <c r="E21" s="62" t="s">
        <v>125</v>
      </c>
      <c r="F21" s="2"/>
      <c r="H21" s="2"/>
    </row>
    <row r="22" spans="1:9" x14ac:dyDescent="0.25">
      <c r="A22" s="61"/>
      <c r="B22" s="62"/>
      <c r="C22" s="48" t="s">
        <v>120</v>
      </c>
      <c r="D22" s="62"/>
      <c r="E22" s="62"/>
      <c r="H22" s="2"/>
    </row>
    <row r="23" spans="1:9" x14ac:dyDescent="0.25">
      <c r="A23" s="61"/>
      <c r="B23" s="62"/>
      <c r="C23" s="48" t="s">
        <v>123</v>
      </c>
      <c r="D23" s="62"/>
      <c r="E23" s="62"/>
      <c r="F23" s="2"/>
      <c r="H23" s="2"/>
    </row>
    <row r="24" spans="1:9" x14ac:dyDescent="0.25">
      <c r="A24" s="61"/>
      <c r="B24" s="62"/>
      <c r="C24" s="52" t="s">
        <v>116</v>
      </c>
      <c r="D24" s="61"/>
      <c r="E24" s="62"/>
      <c r="F24" s="2"/>
      <c r="H24" s="5"/>
    </row>
    <row r="25" spans="1:9" x14ac:dyDescent="0.25">
      <c r="A25" s="61"/>
      <c r="B25" s="62"/>
      <c r="C25" s="52" t="s">
        <v>132</v>
      </c>
      <c r="D25" s="61"/>
      <c r="E25" s="62"/>
      <c r="F25" s="2"/>
      <c r="H25" s="5"/>
    </row>
    <row r="26" spans="1:9" x14ac:dyDescent="0.25">
      <c r="A26" s="61"/>
      <c r="B26" s="62"/>
      <c r="C26" s="52" t="s">
        <v>130</v>
      </c>
      <c r="D26" s="61"/>
      <c r="E26" s="62"/>
      <c r="F26" s="2"/>
    </row>
    <row r="27" spans="1:9" x14ac:dyDescent="0.25">
      <c r="A27" s="10"/>
      <c r="B27" s="10"/>
      <c r="C27" s="8"/>
      <c r="D27" s="10"/>
      <c r="E27" s="9"/>
      <c r="F27" s="5"/>
      <c r="G27" s="4"/>
      <c r="H27" s="4"/>
    </row>
    <row r="28" spans="1:9" x14ac:dyDescent="0.25">
      <c r="A28" s="10"/>
      <c r="B28" s="10"/>
      <c r="C28" s="10"/>
      <c r="D28" s="10"/>
      <c r="E28" s="9"/>
      <c r="F28" s="5"/>
      <c r="G28" s="4"/>
      <c r="H28" s="4"/>
      <c r="I28" s="1"/>
    </row>
    <row r="29" spans="1:9" x14ac:dyDescent="0.25">
      <c r="A29" s="3"/>
      <c r="B29" s="10"/>
      <c r="C29" s="8"/>
      <c r="D29" s="10"/>
      <c r="E29" s="11"/>
      <c r="F29" s="5"/>
      <c r="G29" s="4"/>
      <c r="H29" s="4"/>
      <c r="I29" s="1"/>
    </row>
    <row r="30" spans="1:9" x14ac:dyDescent="0.25">
      <c r="A30" s="3"/>
      <c r="C30" s="10"/>
      <c r="E30" s="11"/>
      <c r="G30" s="4"/>
      <c r="H30" s="4"/>
      <c r="I30" s="1"/>
    </row>
    <row r="31" spans="1:9" x14ac:dyDescent="0.25">
      <c r="A31" s="2"/>
      <c r="C31" s="10"/>
      <c r="E31" s="11"/>
      <c r="F31" s="5"/>
      <c r="G31" s="4"/>
      <c r="H31" s="4"/>
      <c r="I31" s="1"/>
    </row>
    <row r="32" spans="1:9" x14ac:dyDescent="0.25">
      <c r="A32" s="2"/>
      <c r="C32" s="10"/>
      <c r="E32" s="4"/>
      <c r="F32" s="5"/>
      <c r="G32" s="4"/>
      <c r="H32" s="1"/>
      <c r="I32" s="1"/>
    </row>
    <row r="33" spans="2:9" x14ac:dyDescent="0.25">
      <c r="C33" s="10"/>
      <c r="E33" s="4"/>
      <c r="F33" s="5"/>
      <c r="G33" s="4"/>
      <c r="I33" s="1"/>
    </row>
    <row r="34" spans="2:9" x14ac:dyDescent="0.25">
      <c r="E34" s="4"/>
    </row>
    <row r="35" spans="2:9" x14ac:dyDescent="0.25">
      <c r="B35" s="53"/>
      <c r="E35" s="4"/>
    </row>
  </sheetData>
  <sheetProtection sheet="1" objects="1" scenarios="1"/>
  <mergeCells count="1">
    <mergeCell ref="A1:E1"/>
  </mergeCells>
  <hyperlinks>
    <hyperlink ref="B3:B5" location="'eq #2'!A1" display="IQ12 HP" xr:uid="{00000000-0004-0000-0000-000000000000}"/>
    <hyperlink ref="E3" location="'NQ20'!A1" display="NQ 20" xr:uid="{00000000-0004-0000-0000-000001000000}"/>
    <hyperlink ref="E4" location="'NQ40 EP_QT_HG'!A1" display="NQ 40 EP, QT, HG" xr:uid="{00000000-0004-0000-0000-000002000000}"/>
    <hyperlink ref="E7" location="'NQ60'!A1" display="NQ 60" xr:uid="{00000000-0004-0000-0000-000003000000}"/>
    <hyperlink ref="E8" location="'NQ90'!A1" display="NQ 90" xr:uid="{00000000-0004-0000-0000-000004000000}"/>
    <hyperlink ref="E9" location="'NQ60'!A1" display="MCOTS N 28V" xr:uid="{00000000-0004-0000-0000-000005000000}"/>
    <hyperlink ref="E10" location="'NQ90'!A1" display="MCOTS N 28VE" xr:uid="{00000000-0004-0000-0000-000006000000}"/>
    <hyperlink ref="C5" location="'eq #1'!A1" display="MCOTS 28 HZ" xr:uid="{00000000-0004-0000-0000-000007000000}"/>
    <hyperlink ref="C3" location="'eq #2'!A1" display="MCOTS 28 HP, QT, QE, SM" xr:uid="{00000000-0004-0000-0000-000008000000}"/>
    <hyperlink ref="C4" location="'eq #1'!A1" display="MCOTS 28 HZ" xr:uid="{00000000-0004-0000-0000-000009000000}"/>
    <hyperlink ref="C8" location="'eq #1'!A1" display="MCOTS 28V HZ" xr:uid="{00000000-0004-0000-0000-00000A000000}"/>
    <hyperlink ref="C6" location="'eq #2'!A1" display="MCOTS 28V HP" xr:uid="{00000000-0004-0000-0000-00000B000000}"/>
    <hyperlink ref="C10" location="'eq #1'!A1" display="MCOTS 28VE HZ" xr:uid="{00000000-0004-0000-0000-00000C000000}"/>
    <hyperlink ref="C12" location="'eq #1'!A1" display="MCOTS 48 HZ" xr:uid="{00000000-0004-0000-0000-00000D000000}"/>
    <hyperlink ref="C17" location="'eq #3'!A1" display="MCOTS 270 FT" xr:uid="{00000000-0004-0000-0000-00000E000000}"/>
    <hyperlink ref="C9" location="'eq #2'!A1" display="MCOTS 28VE HP" xr:uid="{00000000-0004-0000-0000-00000F000000}"/>
    <hyperlink ref="C11" location="'eq #2'!A1" display="MCOTS 48 HP, QT ,SM" xr:uid="{00000000-0004-0000-0000-000010000000}"/>
    <hyperlink ref="C14" location="'eq #3'!A1" display="MCOTS 270 QT" xr:uid="{00000000-0004-0000-0000-000011000000}"/>
    <hyperlink ref="C15" location="'eq #3'!A1" display="MCOTS 270 HT" xr:uid="{00000000-0004-0000-0000-000012000000}"/>
    <hyperlink ref="C18" location="'eq #3'!A1" display="MCOTS 270 N (all)" xr:uid="{00000000-0004-0000-0000-000013000000}"/>
    <hyperlink ref="B7" location="'eq #2'!A1" display="IQ32 HP" xr:uid="{00000000-0004-0000-0000-000014000000}"/>
    <hyperlink ref="B8" location="'eq #1'!A1" display="IQ32 HZ" xr:uid="{00000000-0004-0000-0000-000015000000}"/>
    <hyperlink ref="B6" location="'eq #1'!A1" display="IQ24 HE, HZ" xr:uid="{00000000-0004-0000-0000-000016000000}"/>
    <hyperlink ref="B9" location="'eq #2'!A1" display="IQ36 HP" xr:uid="{00000000-0004-0000-0000-000017000000}"/>
    <hyperlink ref="B18" location="'eq #3'!A1" display="IQ4H QT, HT, FT" xr:uid="{00000000-0004-0000-0000-000018000000}"/>
    <hyperlink ref="B12" location="'eq #2'!A1" display="IQ64 HP" xr:uid="{00000000-0004-0000-0000-000019000000}"/>
    <hyperlink ref="B13" location="'eq #2'!A1" display="IQ70 HP" xr:uid="{00000000-0004-0000-0000-00001A000000}"/>
    <hyperlink ref="B14" location="'eq #2'!A1" display="IQ72 HP" xr:uid="{00000000-0004-0000-0000-00001B000000}"/>
    <hyperlink ref="B15" location="'eq #2'!A1" display="IQ90 HP" xr:uid="{00000000-0004-0000-0000-00001C000000}"/>
    <hyperlink ref="B16" location="'eq #2'!A1" display="IQ1B HP, HT, QT, QG, QM" xr:uid="{00000000-0004-0000-0000-00001D000000}"/>
    <hyperlink ref="B17" location="'eq #2'!A1" display="IQ2H QT" xr:uid="{00000000-0004-0000-0000-00001E000000}"/>
    <hyperlink ref="B10" location="'eq #2'!A1" display="IQ48 HP" xr:uid="{00000000-0004-0000-0000-00001F000000}"/>
    <hyperlink ref="B11" location="'eq #1'!A1" display="IQ48 HZ" xr:uid="{00000000-0004-0000-0000-000020000000}"/>
    <hyperlink ref="A4" location="'eq #1'!A1" display="PQ24 QE" xr:uid="{00000000-0004-0000-0000-000021000000}"/>
    <hyperlink ref="A5" location="'eq #1'!A1" display="PQ30 EG" xr:uid="{00000000-0004-0000-0000-000022000000}"/>
    <hyperlink ref="A9" location="'eq #1'!A1" display="PQ48 HK" xr:uid="{00000000-0004-0000-0000-000023000000}"/>
    <hyperlink ref="A11" location="'eq #1'!A1" display="PQ50 HP, HT, HZ" xr:uid="{00000000-0004-0000-0000-000024000000}"/>
    <hyperlink ref="A12" location="'eq #1'!A1" display="PQ55 HE" xr:uid="{00000000-0004-0000-0000-000025000000}"/>
    <hyperlink ref="A15" location="'eq #1'!A1" display="PQ60 QE, QZ" xr:uid="{00000000-0004-0000-0000-000026000000}"/>
    <hyperlink ref="A16" location="'eq #1'!A1" display="PQ60 HM, HP, HT, HZ" xr:uid="{00000000-0004-0000-0000-000027000000}"/>
    <hyperlink ref="A3" location="'eq #2'!A1" display="PQ24 QG" xr:uid="{00000000-0004-0000-0000-000028000000}"/>
    <hyperlink ref="A6" location="'eq #2'!A1" display="PQ30 QG" xr:uid="{00000000-0004-0000-0000-000029000000}"/>
    <hyperlink ref="A7" location="'eq #2'!A1" display="PQ40 QG" xr:uid="{00000000-0004-0000-0000-00002A000000}"/>
    <hyperlink ref="A8" location="'eq #2'!A1" display="PQ48 QN, QG" xr:uid="{00000000-0004-0000-0000-00002B000000}"/>
    <hyperlink ref="A13" location="'eq #2'!A1" display="PQ60 EK, EM, EG, ET" xr:uid="{00000000-0004-0000-0000-00002C000000}"/>
    <hyperlink ref="A14" location="'eq #2'!A1" display="PQ60 QM, QG, QT, QP" xr:uid="{00000000-0004-0000-0000-00002D000000}"/>
    <hyperlink ref="A10" location="'eq #2'!A1" display="PQ24 QG" xr:uid="{00000000-0004-0000-0000-00002E000000}"/>
    <hyperlink ref="E5" location="'NQ40 EG_ET_QG'!A1" display="NQ 40 EG, ET, QG" xr:uid="{00000000-0004-0000-0000-00002F000000}"/>
    <hyperlink ref="E6" location="'MCOTS-N-12-Q3P1N-QT'!A1" display="MCOTS N 12 Q3P1N QT" xr:uid="{00000000-0004-0000-0000-000030000000}"/>
    <hyperlink ref="C20" location="'MCOTS-270-xx-FE'!A1" display="MCOTS 270 FE" xr:uid="{00000000-0004-0000-0000-000031000000}"/>
    <hyperlink ref="C21" location="'MCOTS-270H_HL'!A1" display="MCOTS 270H, HL" xr:uid="{00000000-0004-0000-0000-000032000000}"/>
    <hyperlink ref="D3" location="'RQ (QG, QM, QT)'!A1" display="RQ (QM, QG, QT)" xr:uid="{00000000-0004-0000-0000-000033000000}"/>
    <hyperlink ref="D4" location="'RQ ( HE, HG, HP)'!A1" display="RQ (HE, HM, HT)" xr:uid="{00000000-0004-0000-0000-000034000000}"/>
    <hyperlink ref="D5" location="'RQ (HZ)'!A1" display="RQ (HZ)" xr:uid="{00000000-0004-0000-0000-000035000000}"/>
    <hyperlink ref="C19" location="'MCOTS 270 HE'!A1" display="MCOTS 270 HE" xr:uid="{77F366B3-4961-43DC-8465-9ADF7CE9D892}"/>
    <hyperlink ref="C24" location="'MCOTS 270-400 HT'!A1" display="MCOTS 270-400 HT" xr:uid="{8D04EA58-3BA5-4E37-B304-6F61B67AB02C}"/>
    <hyperlink ref="C22" location="'MCOTS 270F'!A1" display="MCOTS 270F" xr:uid="{06D62F1C-B118-471B-B467-55699F0E1919}"/>
    <hyperlink ref="C13" location="'eq #2'!A1" display="MCOTS 150 QT" xr:uid="{EA65414C-E93F-44D9-AE4F-BB4AEF922BB8}"/>
    <hyperlink ref="C16" location="'eq #3'!A1" display="MCOTS 270 HP" xr:uid="{F8EB916E-9A52-4CF2-BF5E-6F03A38FF32D}"/>
    <hyperlink ref="C7" location="'eq #1'!A1" display="MCOTS 28V HZ" xr:uid="{B769A544-678D-4D91-8E94-730478C855C8}"/>
    <hyperlink ref="C23" location="'MCOTS 270F'!A1" display="MCOTS 390 DM, SK" xr:uid="{C8E3117C-57AD-4F81-9A8A-1981DAB81185}"/>
    <hyperlink ref="C26" location="'MCOTS-C-270-05xxT-HT'!A1" display="MCOTS 270-05xxT HT" xr:uid="{2A626FEA-7CCD-42EB-8445-FE90246AB40E}"/>
    <hyperlink ref="C25" location="'MCOTS-C-270-xxxx-FT'!A1" display="MCOTS 270 800/1000 FT" xr:uid="{D9795D8F-0299-4BED-987D-C54F3B5A62D0}"/>
  </hyperlinks>
  <pageMargins left="0.7" right="0.7" top="0.75" bottom="0.75" header="0.3" footer="0.3"/>
  <pageSetup orientation="landscape" r:id="rId1"/>
  <headerFooter>
    <oddHeader>&amp;CTrim Resistor Calculator</oddHeader>
    <oddFooter>&amp;L068-0000002 Rev J&amp;CSynQor, Inc.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2">
    <pageSetUpPr fitToPage="1"/>
  </sheetPr>
  <dimension ref="A1:I12"/>
  <sheetViews>
    <sheetView showGridLines="0" showRowColHeaders="0" showRuler="0" view="pageLayout" zoomScaleNormal="100" workbookViewId="0">
      <selection activeCell="G12" sqref="G12:I12"/>
    </sheetView>
  </sheetViews>
  <sheetFormatPr defaultColWidth="8.85546875" defaultRowHeight="15" x14ac:dyDescent="0.25"/>
  <cols>
    <col min="1" max="1" width="15.42578125" style="7" customWidth="1"/>
    <col min="2" max="2" width="9.7109375" style="7" customWidth="1"/>
    <col min="3" max="3" width="11.28515625" style="7" customWidth="1"/>
    <col min="4" max="4" width="12.5703125" style="7" customWidth="1"/>
    <col min="5" max="5" width="14.42578125" style="7" customWidth="1"/>
    <col min="6" max="7" width="13.42578125" style="7" customWidth="1"/>
    <col min="8" max="8" width="9.42578125" style="7" customWidth="1"/>
    <col min="9" max="9" width="8.85546875" style="7" customWidth="1"/>
  </cols>
  <sheetData>
    <row r="1" spans="1:9" ht="18.75" x14ac:dyDescent="0.25">
      <c r="A1" s="98" t="s">
        <v>55</v>
      </c>
      <c r="B1" s="98"/>
      <c r="C1" s="98"/>
      <c r="D1" s="98"/>
      <c r="E1" s="98"/>
      <c r="F1" s="98"/>
      <c r="G1" s="98"/>
      <c r="H1" s="98"/>
      <c r="I1" s="98"/>
    </row>
    <row r="2" spans="1:9" x14ac:dyDescent="0.25">
      <c r="A2" s="99" t="s">
        <v>25</v>
      </c>
      <c r="B2" s="99"/>
      <c r="C2" s="99"/>
      <c r="D2" s="99"/>
      <c r="E2" s="99"/>
      <c r="F2" s="99"/>
      <c r="G2" s="99"/>
      <c r="H2" s="99"/>
      <c r="I2" s="99"/>
    </row>
    <row r="3" spans="1:9" x14ac:dyDescent="0.25">
      <c r="A3" s="100" t="s">
        <v>59</v>
      </c>
      <c r="B3" s="100"/>
      <c r="C3" s="100"/>
      <c r="D3" s="100"/>
      <c r="E3" s="100"/>
      <c r="F3" s="100"/>
      <c r="G3" s="100"/>
      <c r="H3" s="100"/>
      <c r="I3" s="100"/>
    </row>
    <row r="4" spans="1:9" ht="36" customHeight="1" x14ac:dyDescent="0.25">
      <c r="A4" s="102" t="s">
        <v>39</v>
      </c>
      <c r="B4" s="96"/>
      <c r="C4" s="97"/>
      <c r="D4" s="95" t="s">
        <v>56</v>
      </c>
      <c r="E4" s="101"/>
      <c r="F4" s="102" t="s">
        <v>38</v>
      </c>
      <c r="G4" s="96"/>
      <c r="H4" s="96"/>
      <c r="I4" s="97"/>
    </row>
    <row r="5" spans="1:9" ht="45" customHeight="1" x14ac:dyDescent="0.25">
      <c r="A5" s="13" t="s">
        <v>53</v>
      </c>
      <c r="B5" s="13" t="s">
        <v>48</v>
      </c>
      <c r="C5" s="13" t="s">
        <v>45</v>
      </c>
      <c r="D5" s="13" t="s">
        <v>46</v>
      </c>
      <c r="E5" s="13" t="s">
        <v>54</v>
      </c>
      <c r="F5" s="13" t="s">
        <v>49</v>
      </c>
      <c r="G5" s="13" t="s">
        <v>50</v>
      </c>
      <c r="H5" s="13" t="s">
        <v>51</v>
      </c>
      <c r="I5" s="13" t="s">
        <v>52</v>
      </c>
    </row>
    <row r="6" spans="1:9" x14ac:dyDescent="0.25">
      <c r="A6" s="30">
        <v>49.5</v>
      </c>
      <c r="B6" s="23">
        <f>((11830*90)/(A6+0.058*90)-10912)</f>
        <v>8545.2368421052633</v>
      </c>
      <c r="C6" s="40">
        <f>2.366-(2.316*(A6/90))</f>
        <v>1.0922000000000001</v>
      </c>
      <c r="D6" s="31">
        <v>1.0922000000000001</v>
      </c>
      <c r="E6" s="37">
        <f>90*(2.366-D6)/2.316</f>
        <v>49.500000000000007</v>
      </c>
      <c r="F6" s="30">
        <v>26</v>
      </c>
      <c r="G6" s="30">
        <v>23</v>
      </c>
      <c r="H6" s="23">
        <f>(((0.0469*F6+G6)/(1.153*F6-G6))*10200)-10</f>
        <v>35392.390369733439</v>
      </c>
      <c r="I6" s="40">
        <f>((0.0953+2.085*G6/F6))</f>
        <v>1.9397230769230769</v>
      </c>
    </row>
    <row r="7" spans="1:9" ht="5.0999999999999996" customHeight="1" x14ac:dyDescent="0.25"/>
    <row r="8" spans="1:9" x14ac:dyDescent="0.25">
      <c r="A8" s="87" t="s">
        <v>23</v>
      </c>
      <c r="B8" s="87"/>
      <c r="C8" s="87"/>
      <c r="D8" s="87"/>
      <c r="E8" s="87"/>
      <c r="F8" s="87"/>
      <c r="G8" s="87"/>
      <c r="H8" s="87"/>
      <c r="I8" s="87"/>
    </row>
    <row r="9" spans="1:9" x14ac:dyDescent="0.25">
      <c r="A9" s="76" t="s">
        <v>36</v>
      </c>
      <c r="B9" s="32">
        <v>93266</v>
      </c>
      <c r="C9" s="70" t="s">
        <v>121</v>
      </c>
      <c r="D9" s="75"/>
      <c r="E9" s="37">
        <f>((1064700/(B9+10912))-5.22)</f>
        <v>5.0000080631227322</v>
      </c>
      <c r="F9" s="72" t="s">
        <v>24</v>
      </c>
      <c r="G9" s="77"/>
    </row>
    <row r="10" spans="1:9" x14ac:dyDescent="0.25">
      <c r="A10" s="6" t="s">
        <v>87</v>
      </c>
    </row>
    <row r="12" spans="1:9" ht="18.75" x14ac:dyDescent="0.3">
      <c r="G12" s="86" t="s">
        <v>90</v>
      </c>
      <c r="H12" s="86"/>
      <c r="I12" s="86"/>
    </row>
  </sheetData>
  <sheetProtection sheet="1" selectLockedCells="1"/>
  <mergeCells count="8">
    <mergeCell ref="G12:I12"/>
    <mergeCell ref="A8:I8"/>
    <mergeCell ref="A1:I1"/>
    <mergeCell ref="A2:I2"/>
    <mergeCell ref="A3:I3"/>
    <mergeCell ref="A4:C4"/>
    <mergeCell ref="D4:E4"/>
    <mergeCell ref="F4:I4"/>
  </mergeCells>
  <hyperlinks>
    <hyperlink ref="G12" location="product!A1" display="Go To Product Page!" xr:uid="{00000000-0004-0000-0900-000000000000}"/>
  </hyperlinks>
  <pageMargins left="0.7" right="0.7" top="0.75" bottom="0.75" header="0.3" footer="0.3"/>
  <pageSetup orientation="landscape" r:id="rId1"/>
  <headerFooter>
    <oddHeader>&amp;CTrim Resistor Calculator</oddHeader>
    <oddFooter>&amp;L068-0000002 Rev J&amp;CSynQor, Inc.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3">
    <pageSetUpPr fitToPage="1"/>
  </sheetPr>
  <dimension ref="A1:J17"/>
  <sheetViews>
    <sheetView showGridLines="0" showRowColHeaders="0" showRuler="0" view="pageLayout" zoomScaleNormal="70" workbookViewId="0">
      <selection activeCell="H12" sqref="H12"/>
    </sheetView>
  </sheetViews>
  <sheetFormatPr defaultColWidth="11.42578125" defaultRowHeight="15" x14ac:dyDescent="0.25"/>
  <cols>
    <col min="1" max="1" width="14" customWidth="1"/>
    <col min="2" max="2" width="11.42578125" customWidth="1"/>
    <col min="3" max="3" width="11.28515625" customWidth="1"/>
    <col min="4" max="4" width="12.5703125" customWidth="1"/>
    <col min="5" max="5" width="11.42578125" customWidth="1"/>
    <col min="6" max="6" width="9.42578125" customWidth="1"/>
    <col min="7" max="7" width="11.28515625" customWidth="1"/>
    <col min="8" max="8" width="9.140625" customWidth="1"/>
    <col min="9" max="9" width="9.28515625" customWidth="1"/>
    <col min="10" max="10" width="8.42578125" customWidth="1"/>
  </cols>
  <sheetData>
    <row r="1" spans="1:10" ht="18.75" x14ac:dyDescent="0.25">
      <c r="A1" s="98" t="s">
        <v>55</v>
      </c>
      <c r="B1" s="98"/>
      <c r="C1" s="98"/>
      <c r="D1" s="98"/>
      <c r="E1" s="98"/>
      <c r="F1" s="98"/>
      <c r="G1" s="98"/>
      <c r="H1" s="98"/>
      <c r="I1" s="98"/>
      <c r="J1" s="98"/>
    </row>
    <row r="2" spans="1:10" x14ac:dyDescent="0.25">
      <c r="A2" s="99" t="s">
        <v>25</v>
      </c>
      <c r="B2" s="99"/>
      <c r="C2" s="99"/>
      <c r="D2" s="99"/>
      <c r="E2" s="99"/>
      <c r="F2" s="99"/>
      <c r="G2" s="99"/>
      <c r="H2" s="99"/>
      <c r="I2" s="99"/>
      <c r="J2" s="99"/>
    </row>
    <row r="3" spans="1:10" x14ac:dyDescent="0.25">
      <c r="A3" s="103" t="s">
        <v>94</v>
      </c>
      <c r="B3" s="103"/>
      <c r="C3" s="103"/>
      <c r="D3" s="103"/>
      <c r="E3" s="103"/>
      <c r="F3" s="103"/>
      <c r="G3" s="103"/>
      <c r="H3" s="103"/>
      <c r="I3" s="103"/>
      <c r="J3" s="103"/>
    </row>
    <row r="4" spans="1:10" ht="51" customHeight="1" x14ac:dyDescent="0.25">
      <c r="A4" s="102" t="s">
        <v>39</v>
      </c>
      <c r="B4" s="96"/>
      <c r="C4" s="96"/>
      <c r="D4" s="97"/>
      <c r="E4" s="95" t="s">
        <v>56</v>
      </c>
      <c r="F4" s="101"/>
      <c r="G4" s="102" t="s">
        <v>38</v>
      </c>
      <c r="H4" s="96"/>
      <c r="I4" s="96"/>
      <c r="J4" s="97"/>
    </row>
    <row r="5" spans="1:10" ht="60" x14ac:dyDescent="0.25">
      <c r="A5" s="13" t="s">
        <v>95</v>
      </c>
      <c r="B5" s="13" t="s">
        <v>53</v>
      </c>
      <c r="C5" s="13" t="s">
        <v>48</v>
      </c>
      <c r="D5" s="13" t="s">
        <v>45</v>
      </c>
      <c r="E5" s="13" t="s">
        <v>46</v>
      </c>
      <c r="F5" s="13" t="s">
        <v>54</v>
      </c>
      <c r="G5" s="13" t="s">
        <v>49</v>
      </c>
      <c r="H5" s="13" t="s">
        <v>50</v>
      </c>
      <c r="I5" s="13" t="s">
        <v>51</v>
      </c>
      <c r="J5" s="13" t="s">
        <v>52</v>
      </c>
    </row>
    <row r="6" spans="1:10" x14ac:dyDescent="0.25">
      <c r="A6" s="30">
        <v>40</v>
      </c>
      <c r="B6" s="30">
        <v>0</v>
      </c>
      <c r="C6" s="23">
        <f>((11830*A6)/(B6+0.058*A6)-10912)</f>
        <v>193053.51724137928</v>
      </c>
      <c r="D6" s="38">
        <f>2.366-(2.316*(B6/A6))</f>
        <v>2.3660000000000001</v>
      </c>
      <c r="E6" s="31">
        <v>1.21</v>
      </c>
      <c r="F6" s="37">
        <f>A6*(2.366-E6)/2.316</f>
        <v>19.965457685664944</v>
      </c>
      <c r="G6" s="23">
        <f>IF(A6=40, 60, IF( A6=60, 40, 40))</f>
        <v>60</v>
      </c>
      <c r="H6" s="30">
        <v>40</v>
      </c>
      <c r="I6" s="23">
        <f>(((0.0469*G6+H6)/(1.153*G6-H6))*10200)-10</f>
        <v>14955.825908156268</v>
      </c>
      <c r="J6" s="38">
        <f>((0.0953+2.085*H6/G6))</f>
        <v>1.4853000000000001</v>
      </c>
    </row>
    <row r="7" spans="1:10" ht="5.0999999999999996" customHeight="1" x14ac:dyDescent="0.25">
      <c r="B7" s="16"/>
      <c r="C7" s="16"/>
      <c r="D7" s="16"/>
      <c r="E7" s="16"/>
      <c r="F7" s="16"/>
      <c r="G7" s="16"/>
      <c r="H7" s="16"/>
      <c r="I7" s="16"/>
      <c r="J7" s="16"/>
    </row>
    <row r="8" spans="1:10" x14ac:dyDescent="0.25">
      <c r="A8" s="87" t="s">
        <v>23</v>
      </c>
      <c r="B8" s="87"/>
      <c r="C8" s="87"/>
      <c r="D8" s="87"/>
      <c r="E8" s="87"/>
      <c r="F8" s="87"/>
      <c r="G8" s="87"/>
      <c r="H8" s="87"/>
      <c r="I8" s="87"/>
      <c r="J8" s="87"/>
    </row>
    <row r="9" spans="1:10" x14ac:dyDescent="0.25">
      <c r="A9" s="73" t="s">
        <v>36</v>
      </c>
      <c r="B9" s="32">
        <v>14011</v>
      </c>
      <c r="C9" s="74" t="s">
        <v>121</v>
      </c>
      <c r="D9" s="75"/>
      <c r="E9" s="37">
        <f>IF(A6=60,((709800/(B9+10912))-3.48),((473200/(B9+10912))-2.32))</f>
        <v>16.666478353328252</v>
      </c>
      <c r="F9" s="72" t="s">
        <v>24</v>
      </c>
      <c r="G9" s="16"/>
      <c r="H9" s="16"/>
      <c r="I9" s="16"/>
    </row>
    <row r="10" spans="1:10" x14ac:dyDescent="0.25">
      <c r="A10" s="6" t="s">
        <v>87</v>
      </c>
    </row>
    <row r="11" spans="1:10" ht="18.75" x14ac:dyDescent="0.3">
      <c r="I11" s="49"/>
    </row>
    <row r="12" spans="1:10" ht="18.75" x14ac:dyDescent="0.3">
      <c r="H12" s="51" t="s">
        <v>90</v>
      </c>
      <c r="I12" s="51"/>
    </row>
    <row r="16" spans="1:10" x14ac:dyDescent="0.25">
      <c r="A16" s="57">
        <v>40</v>
      </c>
      <c r="B16" s="57" t="b">
        <f>IF(A6=40,IF(AND(IF(B6&gt;=10,TRUE,FALSE),IF(B6&lt;=40,TRUE,FALSE)),TRUE,FALSE))</f>
        <v>0</v>
      </c>
      <c r="C16" s="57" t="b">
        <f>IF(A6=40,IF(AND(IF(E9&gt;=9.9,TRUE,FALSE),IF(E9&lt;=40.1,TRUE,FALSE)),TRUE,FALSE))</f>
        <v>1</v>
      </c>
      <c r="D16" s="57" t="b">
        <f>IF(A6=40,IF(AND(IF(F6&gt;=10,TRUE,FALSE),IF(F6&lt;=40,TRUE,FALSE)),TRUE,FALSE))</f>
        <v>1</v>
      </c>
    </row>
    <row r="17" spans="1:4" x14ac:dyDescent="0.25">
      <c r="A17" s="57">
        <v>60</v>
      </c>
      <c r="B17" s="57" t="b">
        <f>IF(A6=60,IF(AND(IF(B6&gt;=25,TRUE,FALSE),IF(B6&lt;=60,TRUE,FALSE)),TRUE,FALSE))</f>
        <v>0</v>
      </c>
      <c r="C17" s="57" t="b">
        <f>IF(A6=60,IF(AND(IF(E9&gt;=24.9,TRUE,FALSE),IF(E9&lt;=60.1,TRUE,FALSE)),TRUE,FALSE))</f>
        <v>0</v>
      </c>
      <c r="D17" s="57" t="b">
        <f>IF(A6=60,IF(AND(IF(F6&gt;=25,TRUE,FALSE),IF(F6&lt;=60,TRUE,FALSE)),TRUE,FALSE))</f>
        <v>0</v>
      </c>
    </row>
  </sheetData>
  <sheetProtection sheet="1" selectLockedCells="1"/>
  <mergeCells count="7">
    <mergeCell ref="A8:J8"/>
    <mergeCell ref="A1:J1"/>
    <mergeCell ref="A2:J2"/>
    <mergeCell ref="A3:J3"/>
    <mergeCell ref="A4:D4"/>
    <mergeCell ref="E4:F4"/>
    <mergeCell ref="G4:J4"/>
  </mergeCells>
  <dataValidations count="5">
    <dataValidation type="custom" allowBlank="1" showInputMessage="1" showErrorMessage="1" error="The desired current is above the current limit of the module." sqref="H6" xr:uid="{E6EE5D75-3F1C-4C79-ABD3-D693D413EB98}">
      <formula1>IF(G6&lt;H6,FALSE,TRUE)</formula1>
    </dataValidation>
    <dataValidation type="custom" allowBlank="1" showInputMessage="1" showErrorMessage="1" error="The selected trim resistor does not yeild a valid output voltage." sqref="B9" xr:uid="{888A09B7-C12F-4E31-A174-C7D88654E9F1}">
      <formula1>OR(C16,C17)</formula1>
    </dataValidation>
    <dataValidation type="custom" allowBlank="1" showInputMessage="1" showErrorMessage="1" error="The selected trim voltage does not yeild a viable Actual Output Voltage." sqref="E6" xr:uid="{90DEEB4C-95F4-4519-B270-04348F0E635A}">
      <formula1>OR(D16,D17)</formula1>
    </dataValidation>
    <dataValidation type="custom" errorStyle="warning" allowBlank="1" showInputMessage="1" showErrorMessage="1" error="Desired Output Voltage (Volts) Exceeds Output Voltage Set Point" sqref="B6" xr:uid="{05F269FE-9803-45FB-B29B-75DC4B425CAB}">
      <formula1>OR(B16,B17)</formula1>
    </dataValidation>
    <dataValidation type="list" allowBlank="1" showInputMessage="1" showErrorMessage="1" sqref="A6" xr:uid="{D6F2B095-558F-4DEC-A316-8BD9A749EB05}">
      <formula1>$A$16:$A$17</formula1>
    </dataValidation>
  </dataValidations>
  <hyperlinks>
    <hyperlink ref="H12" location="product!A1" display="Go To Product Page!" xr:uid="{00000000-0004-0000-0A00-000000000000}"/>
  </hyperlinks>
  <pageMargins left="0.7" right="0.7" top="0.75" bottom="0.75" header="0.3" footer="0.3"/>
  <pageSetup orientation="landscape" r:id="rId1"/>
  <headerFooter>
    <oddHeader>&amp;CTrim Resistor Calculator</oddHeader>
    <oddFooter>&amp;L068-0000002 Rev J&amp;CSynQor, Inc.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5">
    <pageSetUpPr fitToPage="1"/>
  </sheetPr>
  <dimension ref="A1:H15"/>
  <sheetViews>
    <sheetView showGridLines="0" showRowColHeaders="0" showRuler="0" view="pageLayout" zoomScaleNormal="100" workbookViewId="0">
      <selection activeCell="F15" sqref="F15:G15"/>
    </sheetView>
  </sheetViews>
  <sheetFormatPr defaultColWidth="11.42578125" defaultRowHeight="15" x14ac:dyDescent="0.25"/>
  <cols>
    <col min="1" max="5" width="15" customWidth="1"/>
    <col min="6" max="7" width="16.42578125" customWidth="1"/>
  </cols>
  <sheetData>
    <row r="1" spans="1:8" ht="18.75" x14ac:dyDescent="0.25">
      <c r="A1" s="89" t="s">
        <v>55</v>
      </c>
      <c r="B1" s="89"/>
      <c r="C1" s="89"/>
      <c r="D1" s="89"/>
      <c r="E1" s="89"/>
      <c r="F1" s="89"/>
      <c r="G1" s="89"/>
    </row>
    <row r="2" spans="1:8" x14ac:dyDescent="0.25">
      <c r="A2" s="90" t="s">
        <v>25</v>
      </c>
      <c r="B2" s="90"/>
      <c r="C2" s="90"/>
      <c r="D2" s="90"/>
      <c r="E2" s="90"/>
      <c r="F2" s="90"/>
      <c r="G2" s="90"/>
    </row>
    <row r="3" spans="1:8" ht="45" x14ac:dyDescent="0.25">
      <c r="A3" s="13" t="s">
        <v>41</v>
      </c>
      <c r="B3" s="13" t="s">
        <v>42</v>
      </c>
      <c r="C3" s="13" t="s">
        <v>43</v>
      </c>
      <c r="D3" s="14" t="s">
        <v>44</v>
      </c>
      <c r="E3" s="13" t="s">
        <v>45</v>
      </c>
      <c r="F3" s="13" t="s">
        <v>46</v>
      </c>
      <c r="G3" s="13" t="s">
        <v>47</v>
      </c>
    </row>
    <row r="4" spans="1:8" x14ac:dyDescent="0.25">
      <c r="A4" s="33">
        <v>5</v>
      </c>
      <c r="B4" s="33">
        <v>4.9000000000000004</v>
      </c>
      <c r="C4" s="24">
        <f>(((100+100*ABS((A4-B4)/A4))/(100*ABS((A4-B4)/A4)))*((A4/1.25)-1.67)-1.37)*1000*((-A4+B4)/((ABS(A4-B4))))</f>
        <v>-117460.00000000041</v>
      </c>
      <c r="D4" s="24">
        <f>SIGN(A4-B4)*(((167/(100*ABS((A4-B4)/A4)))-3.04))*1000</f>
        <v>80460.000000000306</v>
      </c>
      <c r="E4" s="44">
        <f>3.79*(B4/A4)-1.71</f>
        <v>2.0042000000000004</v>
      </c>
      <c r="F4" s="36">
        <v>2</v>
      </c>
      <c r="G4" s="43">
        <f>(F4+1.71)*A4/(3.79)</f>
        <v>4.894459102902375</v>
      </c>
      <c r="H4" s="15"/>
    </row>
    <row r="5" spans="1:8" ht="5.0999999999999996" customHeight="1" x14ac:dyDescent="0.25"/>
    <row r="6" spans="1:8" x14ac:dyDescent="0.25">
      <c r="A6" s="87" t="s">
        <v>23</v>
      </c>
      <c r="B6" s="87"/>
      <c r="C6" s="87"/>
      <c r="D6" s="87"/>
      <c r="E6" s="87"/>
      <c r="F6" s="87"/>
      <c r="G6" s="87"/>
    </row>
    <row r="7" spans="1:8" x14ac:dyDescent="0.25">
      <c r="A7" s="100" t="s">
        <v>26</v>
      </c>
      <c r="B7" s="107"/>
      <c r="C7" s="35">
        <v>233960</v>
      </c>
      <c r="D7" s="105" t="s">
        <v>32</v>
      </c>
      <c r="E7" s="106"/>
      <c r="F7" s="43">
        <f>A4*(1+1/((((C7/1000)+1.37)/((A4/1.25)-1.67))-1))</f>
        <v>5.05</v>
      </c>
      <c r="G7" s="15" t="s">
        <v>24</v>
      </c>
    </row>
    <row r="8" spans="1:8" x14ac:dyDescent="0.25">
      <c r="C8" s="17"/>
      <c r="D8" s="15"/>
      <c r="E8" s="15"/>
      <c r="F8" s="18"/>
      <c r="G8" s="15"/>
    </row>
    <row r="9" spans="1:8" x14ac:dyDescent="0.25">
      <c r="A9" s="100" t="s">
        <v>13</v>
      </c>
      <c r="B9" s="107"/>
      <c r="C9" s="35">
        <v>80460</v>
      </c>
      <c r="D9" s="105" t="s">
        <v>32</v>
      </c>
      <c r="E9" s="106"/>
      <c r="F9" s="43">
        <f>A4-A4*(167/(((C9/1000)+3.04)*100))</f>
        <v>4.9000000000000004</v>
      </c>
      <c r="G9" s="15" t="s">
        <v>24</v>
      </c>
    </row>
    <row r="11" spans="1:8" ht="28.9" customHeight="1" x14ac:dyDescent="0.25">
      <c r="A11" s="104" t="s">
        <v>40</v>
      </c>
      <c r="B11" s="104"/>
      <c r="C11" s="104"/>
      <c r="D11" s="104"/>
      <c r="E11" s="104"/>
      <c r="F11" s="104"/>
      <c r="G11" s="104"/>
    </row>
    <row r="15" spans="1:8" ht="18.75" x14ac:dyDescent="0.3">
      <c r="F15" s="86" t="s">
        <v>90</v>
      </c>
      <c r="G15" s="86"/>
    </row>
  </sheetData>
  <sheetProtection sheet="1" selectLockedCells="1"/>
  <mergeCells count="9">
    <mergeCell ref="A1:G1"/>
    <mergeCell ref="A2:G2"/>
    <mergeCell ref="A6:G6"/>
    <mergeCell ref="A11:G11"/>
    <mergeCell ref="F15:G15"/>
    <mergeCell ref="D7:E7"/>
    <mergeCell ref="A7:B7"/>
    <mergeCell ref="A9:B9"/>
    <mergeCell ref="D9:E9"/>
  </mergeCells>
  <conditionalFormatting sqref="C4:D4">
    <cfRule type="cellIs" dxfId="32" priority="1" operator="lessThan">
      <formula>0</formula>
    </cfRule>
  </conditionalFormatting>
  <hyperlinks>
    <hyperlink ref="F15" location="product!A1" display="Go To Product Page!" xr:uid="{00000000-0004-0000-0B00-000000000000}"/>
  </hyperlinks>
  <pageMargins left="0.7" right="0.7" top="0.75" bottom="0.75" header="0.3" footer="0.3"/>
  <pageSetup orientation="landscape" r:id="rId1"/>
  <headerFooter>
    <oddHeader>&amp;CTrim Resistor Calculator</oddHeader>
    <oddFooter>&amp;L068-0000002 Rev J&amp;CSynQor, Inc.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3">
    <pageSetUpPr fitToPage="1"/>
  </sheetPr>
  <dimension ref="A1:G16"/>
  <sheetViews>
    <sheetView showGridLines="0" showRowColHeaders="0" showRuler="0" view="pageLayout" zoomScaleNormal="100" workbookViewId="0">
      <selection activeCell="F16" sqref="F16:G16"/>
    </sheetView>
  </sheetViews>
  <sheetFormatPr defaultColWidth="8.85546875" defaultRowHeight="15" x14ac:dyDescent="0.25"/>
  <cols>
    <col min="1" max="2" width="15" customWidth="1"/>
    <col min="3" max="3" width="15.7109375" customWidth="1"/>
    <col min="4" max="4" width="15.85546875" customWidth="1"/>
    <col min="5" max="7" width="15.7109375" customWidth="1"/>
  </cols>
  <sheetData>
    <row r="1" spans="1:7" ht="18.75" x14ac:dyDescent="0.25">
      <c r="A1" s="89" t="s">
        <v>55</v>
      </c>
      <c r="B1" s="89"/>
      <c r="C1" s="89"/>
      <c r="D1" s="89"/>
      <c r="E1" s="89"/>
      <c r="F1" s="89"/>
      <c r="G1" s="89"/>
    </row>
    <row r="2" spans="1:7" x14ac:dyDescent="0.25">
      <c r="A2" s="90" t="s">
        <v>25</v>
      </c>
      <c r="B2" s="90"/>
      <c r="C2" s="90"/>
      <c r="D2" s="90"/>
      <c r="E2" s="90"/>
      <c r="F2" s="90"/>
      <c r="G2" s="90"/>
    </row>
    <row r="3" spans="1:7" x14ac:dyDescent="0.25">
      <c r="A3" s="108" t="s">
        <v>99</v>
      </c>
      <c r="B3" s="108"/>
      <c r="C3" s="108"/>
      <c r="D3" s="108"/>
      <c r="E3" s="108"/>
      <c r="F3" s="108"/>
      <c r="G3" s="108"/>
    </row>
    <row r="4" spans="1:7" ht="45" x14ac:dyDescent="0.25">
      <c r="A4" s="13" t="s">
        <v>41</v>
      </c>
      <c r="B4" s="13" t="s">
        <v>42</v>
      </c>
      <c r="C4" s="13" t="s">
        <v>43</v>
      </c>
      <c r="D4" s="14" t="s">
        <v>44</v>
      </c>
      <c r="E4" s="13" t="s">
        <v>45</v>
      </c>
      <c r="F4" s="13" t="s">
        <v>46</v>
      </c>
      <c r="G4" s="13" t="s">
        <v>47</v>
      </c>
    </row>
    <row r="5" spans="1:7" x14ac:dyDescent="0.25">
      <c r="A5" s="34">
        <v>11</v>
      </c>
      <c r="B5" s="34">
        <v>9</v>
      </c>
      <c r="C5" s="19">
        <f>(((B5-1.225)*5110)/(1.225*((B5/A5)-1)))-10220</f>
        <v>-188600.71428571432</v>
      </c>
      <c r="D5" s="19">
        <f>(((B5/A5)*10220)-5110)/((1-(B5/A5)))</f>
        <v>17885.000000000007</v>
      </c>
      <c r="E5" s="25">
        <f>2.45*((B5/A5)-1)+1.225</f>
        <v>0.77954545454545476</v>
      </c>
      <c r="F5" s="31">
        <v>1.47</v>
      </c>
      <c r="G5" s="37">
        <f>A5*(((F5-1.225)/2.45)+1)</f>
        <v>12.099999999999998</v>
      </c>
    </row>
    <row r="6" spans="1:7" ht="5.25" customHeight="1" x14ac:dyDescent="0.25">
      <c r="A6" s="77"/>
      <c r="B6" s="77"/>
      <c r="C6" s="77"/>
      <c r="D6" s="77"/>
      <c r="E6" s="77"/>
      <c r="F6" s="77"/>
      <c r="G6" s="77"/>
    </row>
    <row r="7" spans="1:7" ht="18" customHeight="1" x14ac:dyDescent="0.25">
      <c r="A7" s="87" t="s">
        <v>23</v>
      </c>
      <c r="B7" s="87"/>
      <c r="C7" s="87"/>
      <c r="D7" s="87"/>
      <c r="E7" s="87"/>
      <c r="F7" s="87"/>
      <c r="G7" s="87"/>
    </row>
    <row r="8" spans="1:7" x14ac:dyDescent="0.25">
      <c r="A8" s="88" t="s">
        <v>26</v>
      </c>
      <c r="B8" s="91"/>
      <c r="C8" s="32">
        <v>400000</v>
      </c>
      <c r="D8" s="92" t="s">
        <v>32</v>
      </c>
      <c r="E8" s="93"/>
      <c r="F8" s="37">
        <f>(((6259/(10220+C8))-1.225)/((5110/(10220+C8))-(1.225/A5)))</f>
        <v>12.231121004594346</v>
      </c>
      <c r="G8" s="72" t="s">
        <v>24</v>
      </c>
    </row>
    <row r="9" spans="1:7" x14ac:dyDescent="0.25">
      <c r="A9" s="77"/>
      <c r="B9" s="77"/>
      <c r="C9" s="21"/>
      <c r="D9" s="77"/>
      <c r="E9" s="77"/>
      <c r="F9" s="22"/>
      <c r="G9" s="77"/>
    </row>
    <row r="10" spans="1:7" x14ac:dyDescent="0.25">
      <c r="A10" s="88" t="s">
        <v>13</v>
      </c>
      <c r="B10" s="91"/>
      <c r="C10" s="32">
        <v>15330</v>
      </c>
      <c r="D10" s="92" t="s">
        <v>32</v>
      </c>
      <c r="E10" s="93"/>
      <c r="F10" s="37">
        <f>(A5*(5110+C10))/(10220+C10)</f>
        <v>8.8000000000000007</v>
      </c>
      <c r="G10" s="72" t="s">
        <v>24</v>
      </c>
    </row>
    <row r="11" spans="1:7" x14ac:dyDescent="0.25">
      <c r="A11" s="77"/>
      <c r="B11" s="77"/>
      <c r="C11" s="77"/>
      <c r="D11" s="77"/>
      <c r="E11" s="77"/>
      <c r="F11" s="77"/>
      <c r="G11" s="77"/>
    </row>
    <row r="12" spans="1:7" x14ac:dyDescent="0.25">
      <c r="A12" s="88" t="s">
        <v>40</v>
      </c>
      <c r="B12" s="88"/>
      <c r="C12" s="88"/>
      <c r="D12" s="88"/>
      <c r="E12" s="88"/>
      <c r="F12" s="88"/>
      <c r="G12" s="88"/>
    </row>
    <row r="13" spans="1:7" x14ac:dyDescent="0.25">
      <c r="A13" s="77"/>
      <c r="B13" s="77"/>
      <c r="C13" s="77"/>
      <c r="D13" s="77"/>
      <c r="E13" s="77"/>
      <c r="F13" s="77"/>
      <c r="G13" s="77"/>
    </row>
    <row r="14" spans="1:7" x14ac:dyDescent="0.25">
      <c r="A14" s="7"/>
      <c r="B14" s="7"/>
      <c r="C14" s="7"/>
      <c r="D14" s="7"/>
      <c r="E14" s="7"/>
      <c r="F14" s="7"/>
      <c r="G14" s="7"/>
    </row>
    <row r="15" spans="1:7" x14ac:dyDescent="0.25">
      <c r="A15" s="7"/>
      <c r="B15" s="7"/>
      <c r="C15" s="7"/>
      <c r="D15" s="7"/>
      <c r="E15" s="7"/>
      <c r="F15" s="7"/>
      <c r="G15" s="7"/>
    </row>
    <row r="16" spans="1:7" ht="18.75" x14ac:dyDescent="0.3">
      <c r="A16" s="7"/>
      <c r="B16" s="7"/>
      <c r="C16" s="7"/>
      <c r="D16" s="7"/>
      <c r="E16" s="7"/>
      <c r="F16" s="86" t="s">
        <v>90</v>
      </c>
      <c r="G16" s="86"/>
    </row>
  </sheetData>
  <sheetProtection sheet="1" selectLockedCells="1"/>
  <mergeCells count="10">
    <mergeCell ref="A10:B10"/>
    <mergeCell ref="D10:E10"/>
    <mergeCell ref="A12:G12"/>
    <mergeCell ref="F16:G16"/>
    <mergeCell ref="A1:G1"/>
    <mergeCell ref="A2:G2"/>
    <mergeCell ref="A3:G3"/>
    <mergeCell ref="A7:G7"/>
    <mergeCell ref="A8:B8"/>
    <mergeCell ref="D8:E8"/>
  </mergeCells>
  <conditionalFormatting sqref="C5:D5">
    <cfRule type="cellIs" dxfId="31" priority="1" operator="lessThan">
      <formula>0</formula>
    </cfRule>
  </conditionalFormatting>
  <conditionalFormatting sqref="D5">
    <cfRule type="cellIs" dxfId="30" priority="2" operator="lessThan">
      <formula>15330</formula>
    </cfRule>
  </conditionalFormatting>
  <hyperlinks>
    <hyperlink ref="F16" location="product!A1" display="Go To Product Page!" xr:uid="{00000000-0004-0000-0C00-000000000000}"/>
  </hyperlinks>
  <pageMargins left="0.7" right="0.7" top="0.75" bottom="0.75" header="0.3" footer="0.3"/>
  <pageSetup orientation="landscape" r:id="rId1"/>
  <headerFooter>
    <oddHeader>&amp;CTrim Resistor Calculator</oddHeader>
    <oddFooter>&amp;L068-0000002 Rev J&amp;CSynQor, Inc.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4">
    <pageSetUpPr fitToPage="1"/>
  </sheetPr>
  <dimension ref="A1:G16"/>
  <sheetViews>
    <sheetView showGridLines="0" showRowColHeaders="0" showRuler="0" view="pageLayout" zoomScaleNormal="100" workbookViewId="0">
      <selection activeCell="C10" sqref="C10"/>
    </sheetView>
  </sheetViews>
  <sheetFormatPr defaultColWidth="8.85546875" defaultRowHeight="15" x14ac:dyDescent="0.25"/>
  <cols>
    <col min="1" max="2" width="15" customWidth="1"/>
    <col min="3" max="3" width="15.7109375" customWidth="1"/>
    <col min="4" max="4" width="15.85546875" customWidth="1"/>
    <col min="5" max="7" width="15.7109375" customWidth="1"/>
  </cols>
  <sheetData>
    <row r="1" spans="1:7" ht="18.75" x14ac:dyDescent="0.25">
      <c r="A1" s="89" t="s">
        <v>55</v>
      </c>
      <c r="B1" s="89"/>
      <c r="C1" s="89"/>
      <c r="D1" s="89"/>
      <c r="E1" s="89"/>
      <c r="F1" s="89"/>
      <c r="G1" s="89"/>
    </row>
    <row r="2" spans="1:7" x14ac:dyDescent="0.25">
      <c r="A2" s="90" t="s">
        <v>25</v>
      </c>
      <c r="B2" s="90"/>
      <c r="C2" s="90"/>
      <c r="D2" s="90"/>
      <c r="E2" s="90"/>
      <c r="F2" s="90"/>
      <c r="G2" s="90"/>
    </row>
    <row r="3" spans="1:7" x14ac:dyDescent="0.25">
      <c r="A3" s="108" t="s">
        <v>100</v>
      </c>
      <c r="B3" s="108"/>
      <c r="C3" s="108"/>
      <c r="D3" s="108"/>
      <c r="E3" s="108"/>
      <c r="F3" s="108"/>
      <c r="G3" s="108"/>
    </row>
    <row r="4" spans="1:7" ht="45" x14ac:dyDescent="0.25">
      <c r="A4" s="13" t="s">
        <v>41</v>
      </c>
      <c r="B4" s="13" t="s">
        <v>42</v>
      </c>
      <c r="C4" s="13" t="s">
        <v>43</v>
      </c>
      <c r="D4" s="14" t="s">
        <v>44</v>
      </c>
      <c r="E4" s="13" t="s">
        <v>45</v>
      </c>
      <c r="F4" s="13" t="s">
        <v>46</v>
      </c>
      <c r="G4" s="13" t="s">
        <v>47</v>
      </c>
    </row>
    <row r="5" spans="1:7" x14ac:dyDescent="0.25">
      <c r="A5" s="34">
        <v>11</v>
      </c>
      <c r="B5" s="34">
        <v>9</v>
      </c>
      <c r="C5" s="19">
        <f>(((B5-1.225)*5110)/(1.225*((B5/A5)-1)))-10220</f>
        <v>-188600.71428571432</v>
      </c>
      <c r="D5" s="19">
        <f>(((B5/A5)*10220)-5110)/((1-(B5/A5)))</f>
        <v>17885.000000000007</v>
      </c>
      <c r="E5" s="25">
        <f>2.45*((B5/A5)-1)+1.225</f>
        <v>0.77954545454545476</v>
      </c>
      <c r="F5" s="31">
        <v>1.47</v>
      </c>
      <c r="G5" s="37">
        <f>A5*(((F5-1.225)/2.45)+1)</f>
        <v>12.099999999999998</v>
      </c>
    </row>
    <row r="6" spans="1:7" ht="5.25" customHeight="1" x14ac:dyDescent="0.25">
      <c r="A6" s="16"/>
      <c r="B6" s="16"/>
      <c r="C6" s="16"/>
      <c r="D6" s="16"/>
      <c r="E6" s="16"/>
      <c r="F6" s="16"/>
      <c r="G6" s="16"/>
    </row>
    <row r="7" spans="1:7" ht="18" customHeight="1" x14ac:dyDescent="0.25">
      <c r="A7" s="87" t="s">
        <v>23</v>
      </c>
      <c r="B7" s="87"/>
      <c r="C7" s="87"/>
      <c r="D7" s="87"/>
      <c r="E7" s="87"/>
      <c r="F7" s="87"/>
      <c r="G7" s="87"/>
    </row>
    <row r="8" spans="1:7" x14ac:dyDescent="0.25">
      <c r="A8" s="88" t="s">
        <v>26</v>
      </c>
      <c r="B8" s="91"/>
      <c r="C8" s="32">
        <v>400000</v>
      </c>
      <c r="D8" s="92" t="s">
        <v>32</v>
      </c>
      <c r="E8" s="93"/>
      <c r="F8" s="37">
        <f>(((6259/(10220+C8))-1.225)/((5110/(10220+C8))-(1.225/A5)))</f>
        <v>12.231121004594346</v>
      </c>
      <c r="G8" s="72" t="s">
        <v>24</v>
      </c>
    </row>
    <row r="9" spans="1:7" x14ac:dyDescent="0.25">
      <c r="A9" s="16"/>
      <c r="B9" s="16"/>
      <c r="C9" s="21"/>
      <c r="D9" s="16"/>
      <c r="E9" s="16"/>
      <c r="F9" s="22"/>
      <c r="G9" s="16"/>
    </row>
    <row r="10" spans="1:7" x14ac:dyDescent="0.25">
      <c r="A10" s="88" t="s">
        <v>13</v>
      </c>
      <c r="B10" s="91"/>
      <c r="C10" s="32">
        <v>15330</v>
      </c>
      <c r="D10" s="92" t="s">
        <v>32</v>
      </c>
      <c r="E10" s="93"/>
      <c r="F10" s="37">
        <f>(A5*(5110+C10))/(10220+C10)</f>
        <v>8.8000000000000007</v>
      </c>
      <c r="G10" s="72" t="s">
        <v>24</v>
      </c>
    </row>
    <row r="11" spans="1:7" x14ac:dyDescent="0.25">
      <c r="A11" s="16"/>
      <c r="B11" s="16"/>
      <c r="C11" s="16"/>
      <c r="D11" s="16"/>
      <c r="E11" s="16"/>
      <c r="F11" s="16"/>
      <c r="G11" s="16"/>
    </row>
    <row r="12" spans="1:7" x14ac:dyDescent="0.25">
      <c r="A12" s="88" t="s">
        <v>40</v>
      </c>
      <c r="B12" s="88"/>
      <c r="C12" s="88"/>
      <c r="D12" s="88"/>
      <c r="E12" s="88"/>
      <c r="F12" s="88"/>
      <c r="G12" s="88"/>
    </row>
    <row r="13" spans="1:7" x14ac:dyDescent="0.25">
      <c r="A13" s="16"/>
      <c r="B13" s="16"/>
      <c r="C13" s="16"/>
      <c r="D13" s="16"/>
      <c r="E13" s="16"/>
      <c r="F13" s="16"/>
      <c r="G13" s="16"/>
    </row>
    <row r="14" spans="1:7" x14ac:dyDescent="0.25">
      <c r="A14" s="7"/>
      <c r="B14" s="7"/>
      <c r="C14" s="7"/>
      <c r="D14" s="7"/>
      <c r="E14" s="7"/>
      <c r="F14" s="7"/>
      <c r="G14" s="7"/>
    </row>
    <row r="15" spans="1:7" x14ac:dyDescent="0.25">
      <c r="A15" s="7"/>
      <c r="B15" s="7"/>
      <c r="C15" s="7"/>
      <c r="D15" s="7"/>
      <c r="E15" s="7"/>
      <c r="F15" s="7"/>
      <c r="G15" s="7"/>
    </row>
    <row r="16" spans="1:7" ht="18.75" x14ac:dyDescent="0.3">
      <c r="A16" s="7"/>
      <c r="B16" s="7"/>
      <c r="C16" s="7"/>
      <c r="D16" s="7"/>
      <c r="E16" s="7"/>
      <c r="F16" s="86" t="s">
        <v>90</v>
      </c>
      <c r="G16" s="86"/>
    </row>
  </sheetData>
  <sheetProtection sheet="1" selectLockedCells="1"/>
  <mergeCells count="10">
    <mergeCell ref="A10:B10"/>
    <mergeCell ref="D10:E10"/>
    <mergeCell ref="A12:G12"/>
    <mergeCell ref="F16:G16"/>
    <mergeCell ref="A1:G1"/>
    <mergeCell ref="A2:G2"/>
    <mergeCell ref="A3:G3"/>
    <mergeCell ref="A7:G7"/>
    <mergeCell ref="A8:B8"/>
    <mergeCell ref="D8:E8"/>
  </mergeCells>
  <conditionalFormatting sqref="C5:D5">
    <cfRule type="cellIs" dxfId="29" priority="1" operator="lessThan">
      <formula>0</formula>
    </cfRule>
  </conditionalFormatting>
  <conditionalFormatting sqref="D5">
    <cfRule type="cellIs" dxfId="28" priority="2" operator="lessThan">
      <formula>15330</formula>
    </cfRule>
  </conditionalFormatting>
  <hyperlinks>
    <hyperlink ref="F16" location="product!A1" display="Go To Product Page!" xr:uid="{00000000-0004-0000-0D00-000000000000}"/>
  </hyperlinks>
  <pageMargins left="0.7" right="0.7" top="0.75" bottom="0.75" header="0.3" footer="0.3"/>
  <pageSetup orientation="landscape" r:id="rId1"/>
  <headerFooter>
    <oddHeader>&amp;CTrim Resistor Calculator</oddHeader>
    <oddFooter>&amp;L068-0000002 Rev J&amp;CSynQor, Inc.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4">
    <pageSetUpPr fitToPage="1"/>
  </sheetPr>
  <dimension ref="A1:G16"/>
  <sheetViews>
    <sheetView showGridLines="0" showRowColHeaders="0" showRuler="0" view="pageLayout" zoomScaleNormal="100" workbookViewId="0">
      <selection activeCell="F16" sqref="F16:G16"/>
    </sheetView>
  </sheetViews>
  <sheetFormatPr defaultColWidth="8.85546875" defaultRowHeight="15" x14ac:dyDescent="0.25"/>
  <cols>
    <col min="1" max="2" width="15.140625" customWidth="1"/>
    <col min="3" max="6" width="15.7109375" customWidth="1"/>
    <col min="7" max="7" width="15.5703125" customWidth="1"/>
  </cols>
  <sheetData>
    <row r="1" spans="1:7" ht="18.75" x14ac:dyDescent="0.25">
      <c r="A1" s="89" t="s">
        <v>55</v>
      </c>
      <c r="B1" s="89"/>
      <c r="C1" s="89"/>
      <c r="D1" s="89"/>
      <c r="E1" s="89"/>
      <c r="F1" s="89"/>
      <c r="G1" s="89"/>
    </row>
    <row r="2" spans="1:7" x14ac:dyDescent="0.25">
      <c r="A2" s="90" t="s">
        <v>25</v>
      </c>
      <c r="B2" s="90"/>
      <c r="C2" s="90"/>
      <c r="D2" s="90"/>
      <c r="E2" s="90"/>
      <c r="F2" s="90"/>
      <c r="G2" s="90"/>
    </row>
    <row r="3" spans="1:7" x14ac:dyDescent="0.25">
      <c r="A3" s="108" t="s">
        <v>103</v>
      </c>
      <c r="B3" s="108"/>
      <c r="C3" s="108"/>
      <c r="D3" s="108"/>
      <c r="E3" s="108"/>
      <c r="F3" s="108"/>
      <c r="G3" s="108"/>
    </row>
    <row r="4" spans="1:7" ht="45" x14ac:dyDescent="0.25">
      <c r="A4" s="13" t="s">
        <v>41</v>
      </c>
      <c r="B4" s="13" t="s">
        <v>42</v>
      </c>
      <c r="C4" s="13" t="s">
        <v>43</v>
      </c>
      <c r="D4" s="14" t="s">
        <v>44</v>
      </c>
      <c r="E4" s="13" t="s">
        <v>45</v>
      </c>
      <c r="F4" s="13" t="s">
        <v>46</v>
      </c>
      <c r="G4" s="13" t="s">
        <v>47</v>
      </c>
    </row>
    <row r="5" spans="1:7" x14ac:dyDescent="0.25">
      <c r="A5" s="34">
        <v>5</v>
      </c>
      <c r="B5" s="34">
        <v>4.3</v>
      </c>
      <c r="C5" s="19">
        <f>IF(B5&gt;A5*1.1,"Out of Range",((100*B5)/(1.3*(ABS(A5-B5)/A5*100))-(86/(ABS(A5-B5)/A5*100))-1)*1000)</f>
        <v>16483.516483516476</v>
      </c>
      <c r="D5" s="19">
        <f>IF(B5&lt;A5*0.8,"Out of Range",((90/((ABS(A5-B5)/A5*100)+0.2)-1))*1000)</f>
        <v>5338.0281690140828</v>
      </c>
      <c r="E5" s="25">
        <f>IF(OR(B5&lt;A5*0.8,B5&gt;A5*1.1),"Out of Range",B5*1.225/(A5*1.1))</f>
        <v>0.95772727272727276</v>
      </c>
      <c r="F5" s="28">
        <v>1</v>
      </c>
      <c r="G5" s="37">
        <f>(IF(OR(F5&lt;0.891,F5&gt;1.225),"Out of Range",F5*A5*1.1/1.225))</f>
        <v>4.4897959183673466</v>
      </c>
    </row>
    <row r="6" spans="1:7" ht="5.25" customHeight="1" x14ac:dyDescent="0.25">
      <c r="A6" s="77"/>
      <c r="B6" s="77"/>
      <c r="C6" s="77"/>
      <c r="D6" s="77"/>
      <c r="E6" s="77"/>
      <c r="F6" s="77"/>
      <c r="G6" s="77"/>
    </row>
    <row r="7" spans="1:7" ht="18" customHeight="1" x14ac:dyDescent="0.25">
      <c r="A7" s="87" t="s">
        <v>23</v>
      </c>
      <c r="B7" s="87"/>
      <c r="C7" s="87"/>
      <c r="D7" s="87"/>
      <c r="E7" s="87"/>
      <c r="F7" s="87"/>
      <c r="G7" s="87"/>
    </row>
    <row r="8" spans="1:7" x14ac:dyDescent="0.25">
      <c r="A8" s="88" t="s">
        <v>26</v>
      </c>
      <c r="B8" s="91"/>
      <c r="C8" s="32">
        <v>340000</v>
      </c>
      <c r="D8" s="92" t="s">
        <v>32</v>
      </c>
      <c r="E8" s="93"/>
      <c r="F8" s="37">
        <f>(840*A5+13*(C8)*(A5))/(13*C8-10000*A5+12000)</f>
        <v>5.0443176631675035</v>
      </c>
      <c r="G8" s="72" t="s">
        <v>24</v>
      </c>
    </row>
    <row r="9" spans="1:7" x14ac:dyDescent="0.25">
      <c r="A9" s="77"/>
      <c r="B9" s="77"/>
      <c r="C9" s="21"/>
      <c r="D9" s="77"/>
      <c r="E9" s="77"/>
      <c r="F9" s="22"/>
      <c r="G9" s="77"/>
    </row>
    <row r="10" spans="1:7" x14ac:dyDescent="0.25">
      <c r="A10" s="88" t="s">
        <v>13</v>
      </c>
      <c r="B10" s="91"/>
      <c r="C10" s="32">
        <v>3700</v>
      </c>
      <c r="D10" s="92" t="s">
        <v>32</v>
      </c>
      <c r="E10" s="93"/>
      <c r="F10" s="37">
        <f>-(-200*A5-100.2*A5*C10)/(100*(900+C10))</f>
        <v>4.0319565217391302</v>
      </c>
      <c r="G10" s="72" t="s">
        <v>24</v>
      </c>
    </row>
    <row r="11" spans="1:7" x14ac:dyDescent="0.25">
      <c r="A11" s="77"/>
      <c r="B11" s="77"/>
      <c r="C11" s="77"/>
      <c r="D11" s="77"/>
      <c r="E11" s="77"/>
      <c r="F11" s="77"/>
      <c r="G11" s="77"/>
    </row>
    <row r="12" spans="1:7" x14ac:dyDescent="0.25">
      <c r="A12" s="88" t="s">
        <v>40</v>
      </c>
      <c r="B12" s="88"/>
      <c r="C12" s="88"/>
      <c r="D12" s="88"/>
      <c r="E12" s="88"/>
      <c r="F12" s="88"/>
      <c r="G12" s="88"/>
    </row>
    <row r="13" spans="1:7" x14ac:dyDescent="0.25">
      <c r="A13" s="77"/>
      <c r="B13" s="77"/>
      <c r="C13" s="77"/>
      <c r="D13" s="77"/>
      <c r="E13" s="77"/>
      <c r="F13" s="77"/>
      <c r="G13" s="77"/>
    </row>
    <row r="14" spans="1:7" x14ac:dyDescent="0.25">
      <c r="A14" s="7"/>
      <c r="B14" s="7"/>
      <c r="C14" s="7"/>
      <c r="D14" s="7"/>
      <c r="E14" s="7"/>
      <c r="F14" s="7"/>
      <c r="G14" s="7"/>
    </row>
    <row r="15" spans="1:7" x14ac:dyDescent="0.25">
      <c r="A15" s="7"/>
      <c r="B15" s="7"/>
      <c r="C15" s="7"/>
      <c r="D15" s="7"/>
      <c r="E15" s="7"/>
      <c r="F15" s="7"/>
      <c r="G15" s="7"/>
    </row>
    <row r="16" spans="1:7" ht="18.75" x14ac:dyDescent="0.3">
      <c r="A16" s="7"/>
      <c r="B16" s="7"/>
      <c r="C16" s="7"/>
      <c r="D16" s="7"/>
      <c r="E16" s="7"/>
      <c r="F16" s="86" t="s">
        <v>90</v>
      </c>
      <c r="G16" s="86"/>
    </row>
  </sheetData>
  <sheetProtection sheet="1" selectLockedCells="1"/>
  <mergeCells count="10">
    <mergeCell ref="A10:B10"/>
    <mergeCell ref="D10:E10"/>
    <mergeCell ref="A12:G12"/>
    <mergeCell ref="F16:G16"/>
    <mergeCell ref="A1:G1"/>
    <mergeCell ref="A2:G2"/>
    <mergeCell ref="A3:G3"/>
    <mergeCell ref="A7:G7"/>
    <mergeCell ref="A8:B8"/>
    <mergeCell ref="D8:E8"/>
  </mergeCells>
  <conditionalFormatting sqref="C5">
    <cfRule type="expression" dxfId="27" priority="6">
      <formula>$B$5&lt;$A$5</formula>
    </cfRule>
    <cfRule type="expression" dxfId="26" priority="7">
      <formula>$B$5&gt;$A$5*1.1</formula>
    </cfRule>
    <cfRule type="expression" dxfId="25" priority="17">
      <formula>$B$5=$A$5</formula>
    </cfRule>
  </conditionalFormatting>
  <conditionalFormatting sqref="D5">
    <cfRule type="expression" dxfId="24" priority="1">
      <formula>$A$5=$B$5</formula>
    </cfRule>
    <cfRule type="expression" dxfId="23" priority="3">
      <formula>$B$5&gt;$A$5</formula>
    </cfRule>
  </conditionalFormatting>
  <conditionalFormatting sqref="D5:E5">
    <cfRule type="expression" dxfId="22" priority="2">
      <formula>$B$5&lt;$A$5*0.8</formula>
    </cfRule>
  </conditionalFormatting>
  <conditionalFormatting sqref="E5">
    <cfRule type="expression" dxfId="21" priority="13">
      <formula>$B$5&gt;$A$5*1.1</formula>
    </cfRule>
  </conditionalFormatting>
  <conditionalFormatting sqref="F8">
    <cfRule type="expression" dxfId="20" priority="4">
      <formula>$F$8&lt;$A$5</formula>
    </cfRule>
    <cfRule type="expression" dxfId="19" priority="5">
      <formula>$F$8&gt;$A$5*1.1</formula>
    </cfRule>
  </conditionalFormatting>
  <conditionalFormatting sqref="F10">
    <cfRule type="expression" dxfId="18" priority="8">
      <formula>$C$10&lt;3554</formula>
    </cfRule>
    <cfRule type="expression" dxfId="17" priority="9">
      <formula>$C$10&gt;299033</formula>
    </cfRule>
  </conditionalFormatting>
  <conditionalFormatting sqref="G5">
    <cfRule type="expression" dxfId="16" priority="10">
      <formula>$F$5&lt;0.891</formula>
    </cfRule>
    <cfRule type="expression" dxfId="15" priority="11">
      <formula>$F$5&gt;1.225</formula>
    </cfRule>
  </conditionalFormatting>
  <hyperlinks>
    <hyperlink ref="F16" location="product!A1" display="Go To Product Page!" xr:uid="{00000000-0004-0000-0E00-000000000000}"/>
  </hyperlinks>
  <pageMargins left="0.7" right="0.7" top="0.75" bottom="0.75" header="0.3" footer="0.3"/>
  <pageSetup orientation="landscape" r:id="rId1"/>
  <headerFooter>
    <oddHeader>&amp;CTrim Resistor Calculator</oddHeader>
    <oddFooter>&amp;L068-0000002 Rev J&amp;CSynQor, Inc.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C53622-F31F-4504-A4FD-B15EE1B17D81}">
  <sheetPr>
    <pageSetUpPr fitToPage="1"/>
  </sheetPr>
  <dimension ref="A1:J26"/>
  <sheetViews>
    <sheetView showGridLines="0" showRowColHeaders="0" showRuler="0" view="pageLayout" zoomScaleNormal="100" workbookViewId="0">
      <selection activeCell="E6" sqref="E6"/>
    </sheetView>
  </sheetViews>
  <sheetFormatPr defaultRowHeight="15" x14ac:dyDescent="0.25"/>
  <cols>
    <col min="1" max="1" width="13.28515625" customWidth="1"/>
    <col min="2" max="2" width="9.28515625" bestFit="1" customWidth="1"/>
    <col min="3" max="3" width="10.5703125" customWidth="1"/>
    <col min="4" max="4" width="13.42578125" customWidth="1"/>
    <col min="5" max="5" width="11.28515625" customWidth="1"/>
    <col min="6" max="6" width="8.7109375" bestFit="1" customWidth="1"/>
    <col min="7" max="7" width="11.42578125" bestFit="1" customWidth="1"/>
    <col min="8" max="8" width="9.28515625" customWidth="1"/>
    <col min="9" max="9" width="9.5703125" bestFit="1" customWidth="1"/>
    <col min="10" max="10" width="11.5703125" customWidth="1"/>
  </cols>
  <sheetData>
    <row r="1" spans="1:10" ht="18.75" x14ac:dyDescent="0.25">
      <c r="A1" s="98" t="s">
        <v>55</v>
      </c>
      <c r="B1" s="98"/>
      <c r="C1" s="98"/>
      <c r="D1" s="98"/>
      <c r="E1" s="98"/>
      <c r="F1" s="98"/>
      <c r="G1" s="98"/>
      <c r="H1" s="98"/>
      <c r="I1" s="98"/>
      <c r="J1" s="98"/>
    </row>
    <row r="2" spans="1:10" x14ac:dyDescent="0.25">
      <c r="A2" s="99" t="s">
        <v>25</v>
      </c>
      <c r="B2" s="99"/>
      <c r="C2" s="99"/>
      <c r="D2" s="99"/>
      <c r="E2" s="99"/>
      <c r="F2" s="99"/>
      <c r="G2" s="99"/>
      <c r="H2" s="99"/>
      <c r="I2" s="99"/>
      <c r="J2" s="99"/>
    </row>
    <row r="3" spans="1:10" x14ac:dyDescent="0.25">
      <c r="A3" s="103" t="s">
        <v>109</v>
      </c>
      <c r="B3" s="103"/>
      <c r="C3" s="103"/>
      <c r="D3" s="103"/>
      <c r="E3" s="103"/>
      <c r="F3" s="103"/>
      <c r="G3" s="103"/>
      <c r="H3" s="103"/>
      <c r="I3" s="103"/>
      <c r="J3" s="103"/>
    </row>
    <row r="4" spans="1:10" ht="51.75" customHeight="1" x14ac:dyDescent="0.25">
      <c r="A4" s="95" t="s">
        <v>39</v>
      </c>
      <c r="B4" s="110"/>
      <c r="C4" s="110"/>
      <c r="D4" s="101"/>
      <c r="E4" s="95" t="s">
        <v>56</v>
      </c>
      <c r="F4" s="101"/>
      <c r="G4" s="95" t="s">
        <v>38</v>
      </c>
      <c r="H4" s="110"/>
      <c r="I4" s="110"/>
      <c r="J4" s="101"/>
    </row>
    <row r="5" spans="1:10" ht="60" x14ac:dyDescent="0.25">
      <c r="A5" s="13" t="s">
        <v>110</v>
      </c>
      <c r="B5" s="13" t="s">
        <v>111</v>
      </c>
      <c r="C5" s="13" t="s">
        <v>48</v>
      </c>
      <c r="D5" s="13" t="s">
        <v>45</v>
      </c>
      <c r="E5" s="13" t="s">
        <v>46</v>
      </c>
      <c r="F5" s="13" t="s">
        <v>54</v>
      </c>
      <c r="G5" s="13" t="s">
        <v>49</v>
      </c>
      <c r="H5" s="13" t="s">
        <v>50</v>
      </c>
      <c r="I5" s="13" t="s">
        <v>51</v>
      </c>
      <c r="J5" s="13" t="s">
        <v>52</v>
      </c>
    </row>
    <row r="6" spans="1:10" x14ac:dyDescent="0.25">
      <c r="A6" s="30">
        <v>60</v>
      </c>
      <c r="B6" s="30">
        <v>24</v>
      </c>
      <c r="C6" s="55">
        <f>((11830*A6)/(B6+0.058*A6)-10912)</f>
        <v>14917.694323144104</v>
      </c>
      <c r="D6" s="54">
        <f>2.366-(2.316*(B6/A6))</f>
        <v>1.4396</v>
      </c>
      <c r="E6" s="31">
        <v>1.4</v>
      </c>
      <c r="F6" s="56">
        <f>A6*(2.366-E6)/2.316</f>
        <v>25.025906735751299</v>
      </c>
      <c r="G6" s="55">
        <f>IF(A6=40, 35, IF( A6=60, 25, 40))</f>
        <v>25</v>
      </c>
      <c r="H6" s="30">
        <v>25</v>
      </c>
      <c r="I6" s="55">
        <f>(((0.0469*G6+H6)/(1.153*G6-H6))*10200)-10</f>
        <v>69783.333333333343</v>
      </c>
      <c r="J6" s="54">
        <f>((0.0953+2.085*H6/G6))</f>
        <v>2.1802999999999999</v>
      </c>
    </row>
    <row r="7" spans="1:10" ht="5.0999999999999996" customHeight="1" x14ac:dyDescent="0.25"/>
    <row r="8" spans="1:10" x14ac:dyDescent="0.25">
      <c r="A8" s="87" t="s">
        <v>23</v>
      </c>
      <c r="B8" s="87"/>
      <c r="C8" s="87"/>
      <c r="D8" s="87"/>
      <c r="E8" s="87"/>
      <c r="F8" s="87"/>
      <c r="G8" s="87"/>
      <c r="H8" s="87"/>
      <c r="I8" s="87"/>
      <c r="J8" s="87"/>
    </row>
    <row r="9" spans="1:10" ht="15" customHeight="1" x14ac:dyDescent="0.25">
      <c r="A9" s="78" t="s">
        <v>36</v>
      </c>
      <c r="B9" s="32">
        <v>12000</v>
      </c>
      <c r="C9" s="70" t="s">
        <v>121</v>
      </c>
      <c r="D9" s="71"/>
      <c r="E9" s="56">
        <f>IF(A6=60,((709800/(B9+10912))-3.48),((473200/(B9+10912))-2.32))</f>
        <v>27.499399441340781</v>
      </c>
      <c r="F9" s="72" t="s">
        <v>24</v>
      </c>
      <c r="G9" s="16"/>
      <c r="H9" s="16"/>
      <c r="I9" s="16"/>
    </row>
    <row r="10" spans="1:10" x14ac:dyDescent="0.25">
      <c r="A10" s="6" t="s">
        <v>87</v>
      </c>
    </row>
    <row r="11" spans="1:10" ht="18.75" x14ac:dyDescent="0.3">
      <c r="I11" s="49"/>
    </row>
    <row r="12" spans="1:10" ht="18.75" x14ac:dyDescent="0.3">
      <c r="A12" s="109" t="s">
        <v>114</v>
      </c>
      <c r="B12" s="109"/>
      <c r="D12" s="109" t="s">
        <v>115</v>
      </c>
      <c r="E12" s="109"/>
      <c r="H12" s="51" t="s">
        <v>90</v>
      </c>
      <c r="I12" s="51"/>
    </row>
    <row r="13" spans="1:10" x14ac:dyDescent="0.25">
      <c r="A13" s="59"/>
      <c r="B13" s="59"/>
      <c r="C13" s="59"/>
      <c r="D13" s="59"/>
      <c r="E13" s="59"/>
      <c r="F13" s="59"/>
      <c r="G13" s="59"/>
      <c r="H13" s="59"/>
    </row>
    <row r="14" spans="1:10" x14ac:dyDescent="0.25">
      <c r="A14" s="59"/>
      <c r="B14" s="59"/>
      <c r="C14" s="59"/>
      <c r="D14" s="59"/>
      <c r="E14" s="59"/>
      <c r="F14" s="59"/>
      <c r="G14" s="59"/>
      <c r="H14" s="59"/>
    </row>
    <row r="15" spans="1:10" x14ac:dyDescent="0.25">
      <c r="A15" s="59"/>
      <c r="B15" s="59"/>
      <c r="C15" s="59"/>
      <c r="D15" s="59"/>
      <c r="E15" s="59"/>
      <c r="F15" s="59"/>
      <c r="G15" s="59"/>
      <c r="H15" s="59"/>
    </row>
    <row r="16" spans="1:10" x14ac:dyDescent="0.25">
      <c r="A16" s="57">
        <v>40</v>
      </c>
      <c r="B16" s="57" t="b">
        <f>IF(A6=40,IF(AND(IF(B6&gt;=10,TRUE,FALSE),IF(B6&lt;=40,TRUE,FALSE)),TRUE,FALSE))</f>
        <v>0</v>
      </c>
      <c r="C16" s="57" t="b">
        <f>IF(A6=40,IF(AND(IF(E9&gt;=10,TRUE,FALSE),IF(E9&lt;=40,TRUE,FALSE)),TRUE,FALSE))</f>
        <v>0</v>
      </c>
      <c r="D16" s="57" t="b">
        <f>IF(A6=40,IF(AND(IF(F6&gt;=10,TRUE,FALSE),IF(F6&lt;=40,TRUE,FALSE)),TRUE,FALSE))</f>
        <v>0</v>
      </c>
      <c r="E16" s="57"/>
      <c r="F16" s="59"/>
      <c r="G16" s="59"/>
      <c r="H16" s="59"/>
    </row>
    <row r="17" spans="1:8" x14ac:dyDescent="0.25">
      <c r="A17" s="57">
        <v>60</v>
      </c>
      <c r="B17" s="57" t="b">
        <f>IF(A6=60,IF(AND(IF(B6&gt;=24,TRUE,FALSE),IF(B6&lt;=60,TRUE,FALSE)),TRUE,FALSE))</f>
        <v>1</v>
      </c>
      <c r="C17" s="57" t="b">
        <f>IF(A6=60,IF(AND(IF(E9&gt;=23.9,TRUE,FALSE),IF(E9&lt;=60.1,TRUE,FALSE)),TRUE,FALSE))</f>
        <v>1</v>
      </c>
      <c r="D17" s="57" t="b">
        <f>IF(A6=60,IF(AND(IF(F6&gt;=25,TRUE,FALSE),IF(F6&lt;=60,TRUE,FALSE)),TRUE,FALSE))</f>
        <v>1</v>
      </c>
      <c r="E17" s="57"/>
      <c r="F17" s="59"/>
      <c r="G17" s="59"/>
      <c r="H17" s="59"/>
    </row>
    <row r="18" spans="1:8" x14ac:dyDescent="0.25">
      <c r="A18" s="59"/>
      <c r="B18" s="59"/>
      <c r="C18" s="59"/>
      <c r="D18" s="59"/>
      <c r="E18" s="59"/>
      <c r="F18" s="59"/>
      <c r="G18" s="59"/>
      <c r="H18" s="59"/>
    </row>
    <row r="19" spans="1:8" x14ac:dyDescent="0.25">
      <c r="A19" s="59"/>
      <c r="B19" s="59"/>
      <c r="C19" s="59"/>
      <c r="D19" s="59"/>
      <c r="E19" s="59"/>
      <c r="F19" s="59"/>
      <c r="G19" s="59"/>
      <c r="H19" s="59"/>
    </row>
    <row r="20" spans="1:8" x14ac:dyDescent="0.25">
      <c r="A20" s="59"/>
      <c r="B20" s="59"/>
      <c r="C20" s="59"/>
      <c r="D20" s="59"/>
      <c r="E20" s="59"/>
      <c r="F20" s="59"/>
      <c r="G20" s="59"/>
      <c r="H20" s="59"/>
    </row>
    <row r="21" spans="1:8" x14ac:dyDescent="0.25">
      <c r="A21" s="59"/>
      <c r="B21" s="59"/>
      <c r="C21" s="59"/>
      <c r="D21" s="59"/>
      <c r="E21" s="59"/>
      <c r="F21" s="59"/>
      <c r="G21" s="59"/>
      <c r="H21" s="59"/>
    </row>
    <row r="22" spans="1:8" x14ac:dyDescent="0.25">
      <c r="A22" s="59"/>
      <c r="B22" s="59"/>
      <c r="C22" s="59"/>
      <c r="D22" s="59"/>
      <c r="E22" s="59"/>
      <c r="F22" s="59"/>
      <c r="G22" s="59"/>
      <c r="H22" s="59"/>
    </row>
    <row r="23" spans="1:8" x14ac:dyDescent="0.25">
      <c r="A23" s="59"/>
      <c r="B23" s="59"/>
      <c r="C23" s="59"/>
      <c r="D23" s="59"/>
      <c r="E23" s="59"/>
      <c r="F23" s="59"/>
      <c r="G23" s="59"/>
      <c r="H23" s="59"/>
    </row>
    <row r="24" spans="1:8" x14ac:dyDescent="0.25">
      <c r="A24" s="59"/>
      <c r="B24" s="59"/>
      <c r="C24" s="59"/>
      <c r="D24" s="59"/>
      <c r="E24" s="59"/>
      <c r="F24" s="59"/>
      <c r="G24" s="59"/>
      <c r="H24" s="59"/>
    </row>
    <row r="25" spans="1:8" x14ac:dyDescent="0.25">
      <c r="A25" s="59"/>
      <c r="B25" s="59"/>
      <c r="C25" s="59"/>
      <c r="D25" s="59"/>
      <c r="E25" s="59"/>
      <c r="F25" s="59"/>
      <c r="G25" s="59"/>
      <c r="H25" s="59"/>
    </row>
    <row r="26" spans="1:8" x14ac:dyDescent="0.25">
      <c r="A26" s="59"/>
      <c r="B26" s="59"/>
      <c r="C26" s="59"/>
      <c r="D26" s="59"/>
      <c r="E26" s="59"/>
      <c r="F26" s="59"/>
      <c r="G26" s="59"/>
      <c r="H26" s="59"/>
    </row>
  </sheetData>
  <sheetProtection sheet="1" selectLockedCells="1"/>
  <mergeCells count="9">
    <mergeCell ref="A12:B12"/>
    <mergeCell ref="D12:E12"/>
    <mergeCell ref="A8:J8"/>
    <mergeCell ref="A1:J1"/>
    <mergeCell ref="A2:J2"/>
    <mergeCell ref="A3:J3"/>
    <mergeCell ref="A4:D4"/>
    <mergeCell ref="E4:F4"/>
    <mergeCell ref="G4:J4"/>
  </mergeCells>
  <dataValidations count="5">
    <dataValidation type="list" allowBlank="1" showInputMessage="1" showErrorMessage="1" sqref="A6" xr:uid="{15EB2926-CD1D-4C35-BF56-759DF4F501A9}">
      <formula1>$A$16:$A$17</formula1>
    </dataValidation>
    <dataValidation type="custom" errorStyle="warning" allowBlank="1" showInputMessage="1" showErrorMessage="1" error="Desired Output Voltage (Volts) exceeds Output Voltage Set Point" sqref="B6" xr:uid="{D223BF4F-C0E8-4499-8EEC-C505AA9E43FC}">
      <formula1>OR(B16,B17)</formula1>
    </dataValidation>
    <dataValidation type="custom" allowBlank="1" showInputMessage="1" showErrorMessage="1" error="The selected trim voltage does not yeild a viable Actual Output Voltage." sqref="E6" xr:uid="{BB588E9A-4EAB-4109-BAEC-E9918AA66B25}">
      <formula1>OR(D16,D17)</formula1>
    </dataValidation>
    <dataValidation type="custom" allowBlank="1" showInputMessage="1" showErrorMessage="1" error="The selected trim resistor does not yeild a valid output voltage." sqref="B9" xr:uid="{9A3E09EF-A2F4-4E89-BF04-5FEA3429BFEE}">
      <formula1>OR(C16,C17)</formula1>
    </dataValidation>
    <dataValidation type="custom" allowBlank="1" showInputMessage="1" showErrorMessage="1" error="The desired current is above the current limit of the module." sqref="H6" xr:uid="{F3AD7588-E9E9-4947-831A-277A12B24542}">
      <formula1>IF(G6&lt;H6,FALSE,TRUE)</formula1>
    </dataValidation>
  </dataValidations>
  <hyperlinks>
    <hyperlink ref="H12" location="product!A1" display="Go To Product Page!" xr:uid="{B4327549-CAAC-43FF-9E3D-31473D992D62}"/>
  </hyperlinks>
  <pageMargins left="0.7" right="0.7" top="0.75" bottom="0.75" header="0.3" footer="0.3"/>
  <pageSetup orientation="landscape" r:id="rId1"/>
  <headerFooter>
    <oddHeader>&amp;CTrim Resistor Calculator</oddHeader>
    <oddFooter>&amp;L068-0000002 Rev J&amp;CSynQor, Inc.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76EA9-3E30-4B9D-8040-953E231016B0}">
  <sheetPr>
    <pageSetUpPr fitToPage="1"/>
  </sheetPr>
  <dimension ref="A1:G17"/>
  <sheetViews>
    <sheetView showGridLines="0" showRowColHeaders="0" showRuler="0" view="pageLayout" zoomScaleNormal="100" workbookViewId="0">
      <selection activeCell="F15" sqref="F15:G15"/>
    </sheetView>
  </sheetViews>
  <sheetFormatPr defaultRowHeight="15" x14ac:dyDescent="0.25"/>
  <cols>
    <col min="1" max="6" width="15.7109375" customWidth="1"/>
    <col min="7" max="7" width="14.42578125" customWidth="1"/>
  </cols>
  <sheetData>
    <row r="1" spans="1:7" ht="18.75" x14ac:dyDescent="0.25">
      <c r="A1" s="89" t="s">
        <v>55</v>
      </c>
      <c r="B1" s="89"/>
      <c r="C1" s="89"/>
      <c r="D1" s="89"/>
      <c r="E1" s="89"/>
      <c r="F1" s="89"/>
      <c r="G1" s="89"/>
    </row>
    <row r="2" spans="1:7" x14ac:dyDescent="0.25">
      <c r="A2" s="90" t="s">
        <v>25</v>
      </c>
      <c r="B2" s="90"/>
      <c r="C2" s="90"/>
      <c r="D2" s="90"/>
      <c r="E2" s="90"/>
      <c r="F2" s="90"/>
      <c r="G2" s="90"/>
    </row>
    <row r="3" spans="1:7" ht="45" x14ac:dyDescent="0.25">
      <c r="A3" s="13" t="s">
        <v>41</v>
      </c>
      <c r="B3" s="13" t="s">
        <v>42</v>
      </c>
      <c r="C3" s="13" t="s">
        <v>112</v>
      </c>
      <c r="D3" s="14" t="s">
        <v>113</v>
      </c>
      <c r="E3" s="13" t="s">
        <v>45</v>
      </c>
      <c r="F3" s="13" t="s">
        <v>46</v>
      </c>
      <c r="G3" s="13" t="s">
        <v>47</v>
      </c>
    </row>
    <row r="4" spans="1:7" x14ac:dyDescent="0.25">
      <c r="A4" s="68">
        <v>400</v>
      </c>
      <c r="B4" s="34">
        <v>440</v>
      </c>
      <c r="C4" s="63">
        <f>IF(B4&gt;400,((1*A4*(100+100*ABS((A4-B4)/A4)))/(1.225*(100*ABS((A4-B4)/A4))))-((90.9/(100*ABS((A4-B4)/A4))-0.909))," ")</f>
        <v>3583.6557346938775</v>
      </c>
      <c r="D4" s="63" t="str">
        <f>IF(B4&lt;400,(((90.9/(ABS((A4-B4)/A4)*100)))-0.909)," ")</f>
        <v xml:space="preserve"> </v>
      </c>
      <c r="E4" s="64">
        <f>B4*1.225/(A4*1.1)</f>
        <v>1.2249999999999999</v>
      </c>
      <c r="F4" s="28">
        <v>1.2250000000000001</v>
      </c>
      <c r="G4" s="56">
        <f>F4*A4*1.1/1.225</f>
        <v>440.00000000000006</v>
      </c>
    </row>
    <row r="5" spans="1:7" ht="5.25" customHeight="1" x14ac:dyDescent="0.25">
      <c r="A5" s="69"/>
      <c r="B5" s="69"/>
      <c r="C5" s="69"/>
      <c r="D5" s="69"/>
      <c r="E5" s="69"/>
      <c r="F5" s="69"/>
      <c r="G5" s="69"/>
    </row>
    <row r="6" spans="1:7" ht="18" customHeight="1" x14ac:dyDescent="0.25">
      <c r="A6" s="87" t="s">
        <v>23</v>
      </c>
      <c r="B6" s="87"/>
      <c r="C6" s="87"/>
      <c r="D6" s="87"/>
      <c r="E6" s="87"/>
      <c r="F6" s="87"/>
      <c r="G6" s="87"/>
    </row>
    <row r="7" spans="1:7" x14ac:dyDescent="0.25">
      <c r="A7" s="88" t="s">
        <v>26</v>
      </c>
      <c r="B7" s="91"/>
      <c r="C7" s="28">
        <v>3583</v>
      </c>
      <c r="D7" s="92" t="s">
        <v>83</v>
      </c>
      <c r="E7" s="93"/>
      <c r="F7" s="56">
        <f>((1.225*10000*(C7*1000))/(10000+(C7*1000)))/(1000+((10000*(C7*1000))/(10000+(C7*1000))))/((1.1136/A4)-(909/((909+(C7*1000)))))</f>
        <v>439.99711323277785</v>
      </c>
      <c r="G7" s="72" t="s">
        <v>24</v>
      </c>
    </row>
    <row r="8" spans="1:7" x14ac:dyDescent="0.25">
      <c r="A8" s="69"/>
      <c r="B8" s="69"/>
      <c r="C8" s="21"/>
      <c r="D8" s="69"/>
      <c r="E8" s="69"/>
      <c r="F8" s="22"/>
      <c r="G8" s="69"/>
    </row>
    <row r="9" spans="1:7" x14ac:dyDescent="0.25">
      <c r="A9" s="88" t="s">
        <v>13</v>
      </c>
      <c r="B9" s="91"/>
      <c r="C9" s="28">
        <v>20</v>
      </c>
      <c r="D9" s="92" t="s">
        <v>83</v>
      </c>
      <c r="E9" s="93"/>
      <c r="F9" s="56">
        <f>(1.225*A4*C9*1000*10000/(C9*1000+10000)/(1113.6+(1.1136*(C9*1000*10000/(C9*1000+10000)))))</f>
        <v>382.62118940529734</v>
      </c>
      <c r="G9" s="72" t="s">
        <v>24</v>
      </c>
    </row>
    <row r="10" spans="1:7" x14ac:dyDescent="0.25">
      <c r="A10" s="69"/>
      <c r="B10" s="69"/>
      <c r="C10" s="69"/>
      <c r="D10" s="69"/>
      <c r="E10" s="69"/>
      <c r="F10" s="69"/>
      <c r="G10" s="69"/>
    </row>
    <row r="11" spans="1:7" x14ac:dyDescent="0.25">
      <c r="A11" s="88" t="s">
        <v>40</v>
      </c>
      <c r="B11" s="88"/>
      <c r="C11" s="88"/>
      <c r="D11" s="88"/>
      <c r="E11" s="88"/>
      <c r="F11" s="88"/>
      <c r="G11" s="88"/>
    </row>
    <row r="12" spans="1:7" x14ac:dyDescent="0.25">
      <c r="A12" s="69"/>
      <c r="B12" s="69"/>
      <c r="C12" s="69"/>
      <c r="D12" s="69"/>
      <c r="E12" s="69"/>
      <c r="F12" s="69"/>
      <c r="G12" s="69"/>
    </row>
    <row r="13" spans="1:7" x14ac:dyDescent="0.25">
      <c r="A13" s="65"/>
      <c r="B13" s="66"/>
      <c r="C13" s="60"/>
      <c r="D13" s="7"/>
      <c r="E13" s="7"/>
      <c r="F13" s="7"/>
      <c r="G13" s="7"/>
    </row>
    <row r="14" spans="1:7" x14ac:dyDescent="0.25">
      <c r="A14" s="66"/>
      <c r="B14" s="66"/>
      <c r="C14" s="60"/>
      <c r="D14" s="60"/>
      <c r="E14" s="7"/>
      <c r="F14" s="7"/>
      <c r="G14" s="7"/>
    </row>
    <row r="15" spans="1:7" ht="18.75" x14ac:dyDescent="0.3">
      <c r="A15" s="66"/>
      <c r="B15" s="66"/>
      <c r="C15" s="60"/>
      <c r="D15" s="7"/>
      <c r="E15" s="7"/>
      <c r="F15" s="86" t="s">
        <v>90</v>
      </c>
      <c r="G15" s="86"/>
    </row>
    <row r="16" spans="1:7" x14ac:dyDescent="0.25">
      <c r="A16" s="66"/>
      <c r="B16" s="67"/>
      <c r="C16" s="59"/>
    </row>
    <row r="17" spans="1:3" x14ac:dyDescent="0.25">
      <c r="A17" s="59"/>
      <c r="B17" s="59"/>
      <c r="C17" s="59"/>
    </row>
  </sheetData>
  <sheetProtection selectLockedCells="1"/>
  <mergeCells count="9">
    <mergeCell ref="A11:G11"/>
    <mergeCell ref="F15:G15"/>
    <mergeCell ref="A1:G1"/>
    <mergeCell ref="A2:G2"/>
    <mergeCell ref="A6:G6"/>
    <mergeCell ref="A7:B7"/>
    <mergeCell ref="D7:E7"/>
    <mergeCell ref="A9:B9"/>
    <mergeCell ref="D9:E9"/>
  </mergeCells>
  <conditionalFormatting sqref="C4:D4">
    <cfRule type="cellIs" dxfId="14" priority="1" operator="lessThan">
      <formula>0</formula>
    </cfRule>
  </conditionalFormatting>
  <hyperlinks>
    <hyperlink ref="F15" location="product!A1" display="Go To Product Page!" xr:uid="{EE38FAA9-5AC9-44D1-9D3D-48E539181BB7}"/>
  </hyperlinks>
  <pageMargins left="0.7" right="0.7" top="0.75" bottom="0.75" header="0.3" footer="0.3"/>
  <pageSetup orientation="landscape" r:id="rId1"/>
  <headerFooter>
    <oddHeader>&amp;CTrim Resistor Calculator</oddHeader>
    <oddFooter>&amp;L068-0000002 Rev J&amp;CSynQor, Inc.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82AF36-C68A-4692-A62C-9C218CC71DB7}">
  <sheetPr>
    <pageSetUpPr fitToPage="1"/>
  </sheetPr>
  <dimension ref="A1:G17"/>
  <sheetViews>
    <sheetView showGridLines="0" showRowColHeaders="0" showRuler="0" view="pageLayout" zoomScaleNormal="100" workbookViewId="0">
      <selection activeCell="F15" sqref="F15:G15"/>
    </sheetView>
  </sheetViews>
  <sheetFormatPr defaultColWidth="8.85546875" defaultRowHeight="15" x14ac:dyDescent="0.25"/>
  <cols>
    <col min="1" max="6" width="15.7109375" customWidth="1"/>
    <col min="7" max="7" width="14.42578125" customWidth="1"/>
  </cols>
  <sheetData>
    <row r="1" spans="1:7" ht="18.75" x14ac:dyDescent="0.25">
      <c r="A1" s="89" t="s">
        <v>55</v>
      </c>
      <c r="B1" s="89"/>
      <c r="C1" s="89"/>
      <c r="D1" s="89"/>
      <c r="E1" s="89"/>
      <c r="F1" s="89"/>
      <c r="G1" s="89"/>
    </row>
    <row r="2" spans="1:7" x14ac:dyDescent="0.25">
      <c r="A2" s="90" t="s">
        <v>25</v>
      </c>
      <c r="B2" s="90"/>
      <c r="C2" s="90"/>
      <c r="D2" s="90"/>
      <c r="E2" s="90"/>
      <c r="F2" s="90"/>
      <c r="G2" s="90"/>
    </row>
    <row r="3" spans="1:7" ht="45" x14ac:dyDescent="0.25">
      <c r="A3" s="13" t="s">
        <v>41</v>
      </c>
      <c r="B3" s="13" t="s">
        <v>42</v>
      </c>
      <c r="C3" s="13" t="s">
        <v>112</v>
      </c>
      <c r="D3" s="14" t="s">
        <v>113</v>
      </c>
      <c r="E3" s="13" t="s">
        <v>45</v>
      </c>
      <c r="F3" s="13" t="s">
        <v>46</v>
      </c>
      <c r="G3" s="13" t="s">
        <v>47</v>
      </c>
    </row>
    <row r="4" spans="1:7" x14ac:dyDescent="0.25">
      <c r="A4" s="68">
        <v>5</v>
      </c>
      <c r="B4" s="34">
        <v>4.5</v>
      </c>
      <c r="C4" s="63" t="str">
        <f>IF(AND(B4&gt;A4,B4&lt;=A4*1.1),((((B4-1.225)*5110)/(1.225*((B4/A4)-1)))-10220)/1000,"")</f>
        <v/>
      </c>
      <c r="D4" s="63">
        <f>IF(AND(B4&lt;A4,B4&gt;=A4*0.9),(((B4/A4)*10220)-5110)/((1-(B4/A4)))/1000,"")</f>
        <v>40.88000000000001</v>
      </c>
      <c r="E4" s="64">
        <f>IF(AND(B4&gt;=A4*0.9,B4&lt;=A4*1.1),2.45*((B4/A4)-1)+1.225,"")</f>
        <v>0.98000000000000009</v>
      </c>
      <c r="F4" s="28">
        <v>1.47</v>
      </c>
      <c r="G4" s="56">
        <f>A4*(((F4-1.225)/2.45)+1)</f>
        <v>5.4999999999999991</v>
      </c>
    </row>
    <row r="5" spans="1:7" ht="5.25" customHeight="1" x14ac:dyDescent="0.25">
      <c r="A5" s="58"/>
      <c r="B5" s="58"/>
      <c r="C5" s="58"/>
      <c r="D5" s="58"/>
      <c r="E5" s="58"/>
      <c r="F5" s="58"/>
      <c r="G5" s="58"/>
    </row>
    <row r="6" spans="1:7" ht="18" customHeight="1" x14ac:dyDescent="0.25">
      <c r="A6" s="87" t="s">
        <v>23</v>
      </c>
      <c r="B6" s="87"/>
      <c r="C6" s="87"/>
      <c r="D6" s="87"/>
      <c r="E6" s="87"/>
      <c r="F6" s="87"/>
      <c r="G6" s="87"/>
    </row>
    <row r="7" spans="1:7" x14ac:dyDescent="0.25">
      <c r="A7" s="88" t="s">
        <v>26</v>
      </c>
      <c r="B7" s="91"/>
      <c r="C7" s="28">
        <v>168.10900000000001</v>
      </c>
      <c r="D7" s="92" t="s">
        <v>83</v>
      </c>
      <c r="E7" s="93"/>
      <c r="F7" s="56">
        <f>(((6.259/(10.22+C7))-1.225)/((5.11/(10.22+C7))-(1.225/A4)))</f>
        <v>5.5000180790321984</v>
      </c>
      <c r="G7" s="72" t="s">
        <v>24</v>
      </c>
    </row>
    <row r="8" spans="1:7" x14ac:dyDescent="0.25">
      <c r="A8" s="58"/>
      <c r="B8" s="58"/>
      <c r="C8" s="21"/>
      <c r="D8" s="58"/>
      <c r="E8" s="58"/>
      <c r="F8" s="22"/>
      <c r="G8" s="58"/>
    </row>
    <row r="9" spans="1:7" x14ac:dyDescent="0.25">
      <c r="A9" s="88" t="s">
        <v>13</v>
      </c>
      <c r="B9" s="91"/>
      <c r="C9" s="28">
        <v>40.880000000000003</v>
      </c>
      <c r="D9" s="92" t="s">
        <v>83</v>
      </c>
      <c r="E9" s="93"/>
      <c r="F9" s="56">
        <f>(A4*(5.11+C9))/(10.22+C9)</f>
        <v>4.5</v>
      </c>
      <c r="G9" s="72" t="s">
        <v>24</v>
      </c>
    </row>
    <row r="10" spans="1:7" x14ac:dyDescent="0.25">
      <c r="A10" s="58"/>
      <c r="B10" s="58"/>
      <c r="C10" s="58"/>
      <c r="D10" s="58"/>
      <c r="E10" s="58"/>
      <c r="F10" s="58"/>
      <c r="G10" s="58"/>
    </row>
    <row r="11" spans="1:7" x14ac:dyDescent="0.25">
      <c r="A11" s="88" t="s">
        <v>40</v>
      </c>
      <c r="B11" s="88"/>
      <c r="C11" s="88"/>
      <c r="D11" s="88"/>
      <c r="E11" s="88"/>
      <c r="F11" s="88"/>
      <c r="G11" s="88"/>
    </row>
    <row r="12" spans="1:7" x14ac:dyDescent="0.25">
      <c r="A12" s="58"/>
      <c r="B12" s="58"/>
      <c r="C12" s="58"/>
      <c r="D12" s="58"/>
      <c r="E12" s="58"/>
      <c r="F12" s="58"/>
      <c r="G12" s="58"/>
    </row>
    <row r="13" spans="1:7" x14ac:dyDescent="0.25">
      <c r="A13" s="65">
        <v>3.3</v>
      </c>
      <c r="B13" s="66" t="b">
        <f>IF(A4=3.3,IF(AND(IF(B4&gt;=A4*0.9,TRUE,FALSE),IF(B4&lt;=A4*1.1,TRUE,FALSE)),TRUE,FALSE))</f>
        <v>0</v>
      </c>
      <c r="C13" s="60"/>
      <c r="D13" s="7"/>
      <c r="E13" s="7"/>
      <c r="F13" s="7"/>
      <c r="G13" s="7"/>
    </row>
    <row r="14" spans="1:7" x14ac:dyDescent="0.25">
      <c r="A14" s="66">
        <v>5</v>
      </c>
      <c r="B14" s="66" t="b">
        <f>IF(A4=5,IF(AND(IF(B4&gt;=A4*0.9,TRUE,FALSE),IF(B4&lt;=A4*1.1,TRUE,FALSE)),TRUE,FALSE))</f>
        <v>1</v>
      </c>
      <c r="C14" s="60"/>
      <c r="D14" s="60"/>
      <c r="E14" s="7"/>
      <c r="F14" s="7"/>
      <c r="G14" s="7"/>
    </row>
    <row r="15" spans="1:7" ht="18.75" x14ac:dyDescent="0.3">
      <c r="A15" s="66">
        <v>12</v>
      </c>
      <c r="B15" s="66" t="b">
        <f>IF(A4=12,IF(AND(IF(B4&gt;=A4*0.9,TRUE,FALSE),IF(B4&lt;=A4*1.1,TRUE,FALSE)),TRUE,FALSE))</f>
        <v>0</v>
      </c>
      <c r="C15" s="60"/>
      <c r="D15" s="7"/>
      <c r="E15" s="7"/>
      <c r="F15" s="86" t="s">
        <v>90</v>
      </c>
      <c r="G15" s="86"/>
    </row>
    <row r="16" spans="1:7" x14ac:dyDescent="0.25">
      <c r="A16" s="66">
        <v>28</v>
      </c>
      <c r="B16" s="67" t="b">
        <f>IF(A4=28,IF(AND(IF(B4&gt;=A4*0.9,TRUE,FALSE),IF(B4&lt;=A4*1.1,TRUE,FALSE)),TRUE,FALSE))</f>
        <v>0</v>
      </c>
      <c r="C16" s="59"/>
    </row>
    <row r="17" spans="1:3" x14ac:dyDescent="0.25">
      <c r="A17" s="59"/>
      <c r="B17" s="59"/>
      <c r="C17" s="59"/>
    </row>
  </sheetData>
  <sheetProtection sheet="1" selectLockedCells="1"/>
  <dataConsolidate/>
  <mergeCells count="9">
    <mergeCell ref="A11:G11"/>
    <mergeCell ref="F15:G15"/>
    <mergeCell ref="A1:G1"/>
    <mergeCell ref="A2:G2"/>
    <mergeCell ref="A6:G6"/>
    <mergeCell ref="A7:B7"/>
    <mergeCell ref="D7:E7"/>
    <mergeCell ref="A9:B9"/>
    <mergeCell ref="D9:E9"/>
  </mergeCells>
  <dataValidations disablePrompts="1" count="2">
    <dataValidation type="list" allowBlank="1" showInputMessage="1" showErrorMessage="1" sqref="A4" xr:uid="{A279012A-195B-48A6-8593-348FA9ED1A0C}">
      <formula1>A13:A16</formula1>
    </dataValidation>
    <dataValidation type="custom" errorStyle="warning" allowBlank="1" showInputMessage="1" showErrorMessage="1" error="Desired output (Volts) exceeds Output Voltage Trim Range" sqref="B4" xr:uid="{79B8A2F4-6512-4A0A-AF6D-29FE30950028}">
      <formula1>OR(B13:B16)</formula1>
    </dataValidation>
  </dataValidations>
  <hyperlinks>
    <hyperlink ref="F15" location="product!A1" display="Go To Product Page!" xr:uid="{C1E95DB6-6FD2-4D27-A83E-BEC3F57E24B4}"/>
  </hyperlinks>
  <pageMargins left="0.7" right="0.7" top="0.75" bottom="0.75" header="0.3" footer="0.3"/>
  <pageSetup orientation="landscape" r:id="rId1"/>
  <headerFooter>
    <oddHeader>&amp;CTrim Resistor Calculator</oddHeader>
    <oddFooter>&amp;L068-0000002 Rev J&amp;CSynQor, Inc.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ECC327-8FCE-4557-AEC1-3A38213DD014}">
  <sheetPr>
    <pageSetUpPr fitToPage="1"/>
  </sheetPr>
  <dimension ref="A1:I21"/>
  <sheetViews>
    <sheetView showGridLines="0" showRowColHeaders="0" showRuler="0" view="pageLayout" zoomScaleNormal="100" workbookViewId="0">
      <selection activeCell="G21" sqref="G21:H21"/>
    </sheetView>
  </sheetViews>
  <sheetFormatPr defaultColWidth="5.5703125" defaultRowHeight="15" x14ac:dyDescent="0.25"/>
  <cols>
    <col min="1" max="1" width="17.85546875" style="79" customWidth="1"/>
    <col min="2" max="2" width="15.7109375" style="79" customWidth="1"/>
    <col min="3" max="3" width="20.42578125" style="79" customWidth="1"/>
    <col min="4" max="4" width="19" style="79" customWidth="1"/>
    <col min="5" max="9" width="15.7109375" style="79" customWidth="1"/>
  </cols>
  <sheetData>
    <row r="1" spans="1:9" ht="18.75" x14ac:dyDescent="0.25">
      <c r="A1" s="98" t="s">
        <v>55</v>
      </c>
      <c r="B1" s="98"/>
      <c r="C1" s="98"/>
      <c r="D1" s="98"/>
      <c r="E1" s="98"/>
      <c r="F1" s="98"/>
      <c r="G1" s="98"/>
      <c r="H1" s="98"/>
      <c r="I1" s="98"/>
    </row>
    <row r="2" spans="1:9" x14ac:dyDescent="0.25">
      <c r="A2" s="99" t="s">
        <v>25</v>
      </c>
      <c r="B2" s="99"/>
      <c r="C2" s="99"/>
      <c r="D2" s="99"/>
      <c r="E2" s="99"/>
      <c r="F2" s="99"/>
      <c r="G2" s="99"/>
      <c r="H2" s="99"/>
      <c r="I2" s="99"/>
    </row>
    <row r="3" spans="1:9" x14ac:dyDescent="0.25">
      <c r="A3" s="100" t="s">
        <v>131</v>
      </c>
      <c r="B3" s="100"/>
      <c r="C3" s="100"/>
      <c r="D3" s="100"/>
      <c r="E3" s="100"/>
      <c r="F3" s="100"/>
      <c r="G3" s="100"/>
      <c r="H3" s="100"/>
      <c r="I3" s="100"/>
    </row>
    <row r="4" spans="1:9" ht="30.95" customHeight="1" x14ac:dyDescent="0.25">
      <c r="A4" s="112" t="s">
        <v>126</v>
      </c>
      <c r="B4" s="112"/>
      <c r="C4" s="112"/>
      <c r="D4" s="113"/>
      <c r="E4" s="95" t="s">
        <v>56</v>
      </c>
      <c r="F4" s="101"/>
      <c r="G4"/>
      <c r="H4"/>
      <c r="I4"/>
    </row>
    <row r="5" spans="1:9" ht="45" x14ac:dyDescent="0.25">
      <c r="A5" s="13" t="s">
        <v>124</v>
      </c>
      <c r="B5" s="13" t="s">
        <v>53</v>
      </c>
      <c r="C5" s="13" t="s">
        <v>48</v>
      </c>
      <c r="D5" s="13" t="s">
        <v>45</v>
      </c>
      <c r="E5" s="13" t="s">
        <v>46</v>
      </c>
      <c r="F5" s="13" t="s">
        <v>54</v>
      </c>
      <c r="G5"/>
      <c r="H5"/>
      <c r="I5"/>
    </row>
    <row r="6" spans="1:9" x14ac:dyDescent="0.25">
      <c r="A6" s="30">
        <v>15</v>
      </c>
      <c r="B6" s="31">
        <v>14</v>
      </c>
      <c r="C6" s="42">
        <f>IF(OR(AND(A6=12, B6=12), AND(A6=15, B6=15)),
   "No Trim",
IF(A6=12,
    IF(AND(B6&gt;12, B6&lt;=13.2), ((673.36*12)/(B6-12))-1000,
    IF(AND(B6&lt;12, B6&gt;=10.8), ((6590*(0.1022*12-B6))/(B6-12))-1000, "out of range")),
IF(A6=15,
    IF(AND(B6&gt;15, B6&lt;=16.5), ((688.73*15)/(B6-15))-1000,
    IF(AND(B6&lt;15, B6&gt;=13.5), ((8431*(0.0817*15-B6))/(B6-15))-1000, "out of range")),
"")))</f>
        <v>106701.8095</v>
      </c>
      <c r="D6" s="25">
        <f>IF(OR(AND(A6=12,B6=12), AND(A6=15,B6=15)),
   "No Trim",
IF(OR(AND(A6=12, OR(B6&lt;10.8, B6&gt;13.2)),
       AND(A6=15, OR(B6&lt;13.5, B6&gt;16.5))),
   "out of range",
IF(A6=12,
   (1.225*(1/6490+1/750+1/1000)-B6/6490)*1000,
IF(A6=15,
   (1.225*(1/7500+1/750+1/1000)-B6/7500)*1000,
""))))</f>
        <v>1.1550000000000002</v>
      </c>
      <c r="E6" s="28">
        <v>1</v>
      </c>
      <c r="F6" s="37">
        <f>IF(AND(A6=12, E6&gt;=1.013, E6&lt;=1.383),
   (1.225*(1/6490+1/750+1/1000)*1000 - E6)*(6490/1000),
IF(AND(A6=15, E6&gt;=0.822, E6&lt;=1.222),
   (1.225*(1/7500+1/750+1/1000)*1000 - E6)*(7500/1000),
"out of range"))</f>
        <v>15.162500000000001</v>
      </c>
      <c r="G6" s="50"/>
      <c r="H6"/>
      <c r="I6"/>
    </row>
    <row r="8" spans="1:9" x14ac:dyDescent="0.25">
      <c r="A8" s="114" t="s">
        <v>23</v>
      </c>
      <c r="B8" s="114"/>
      <c r="C8" s="114"/>
      <c r="D8" s="114"/>
      <c r="E8" s="114"/>
      <c r="F8" s="114"/>
      <c r="G8"/>
      <c r="H8"/>
      <c r="I8"/>
    </row>
    <row r="9" spans="1:9" x14ac:dyDescent="0.25">
      <c r="A9" s="81" t="s">
        <v>129</v>
      </c>
      <c r="B9" s="82">
        <v>100000</v>
      </c>
      <c r="C9" s="111" t="str">
        <f>IF(A6=12, "(Ω) actual output voltage of ±12V model is", "(Ω) actual output voltage of ±15V model is")</f>
        <v>(Ω) actual output voltage of ±15V model is</v>
      </c>
      <c r="D9" s="111"/>
      <c r="E9" s="25">
        <f>IF(A6=12,(673.36*A6)/(B9+1000)+A6,
   IF(A6=15,(688.73*A6)/(B9+1000)+A6,""))</f>
        <v>15.102286633663367</v>
      </c>
      <c r="F9" s="81" t="s">
        <v>24</v>
      </c>
    </row>
    <row r="10" spans="1:9" x14ac:dyDescent="0.25">
      <c r="B10" s="46"/>
      <c r="C10" s="77"/>
      <c r="D10" s="83" t="str">
        <f>IF(B7=12, "(Ω) actual output voltage of ±12V model is", "(Ω) actual output voltage of ±15V model is")</f>
        <v>(Ω) actual output voltage of ±15V model is</v>
      </c>
      <c r="E10" s="47"/>
      <c r="F10" s="77"/>
    </row>
    <row r="11" spans="1:9" x14ac:dyDescent="0.25">
      <c r="A11" s="81" t="s">
        <v>13</v>
      </c>
      <c r="B11" s="82">
        <v>100000</v>
      </c>
      <c r="C11" s="111" t="str">
        <f>IF(A6=12, "(Ω) actual output voltage of ±12V model is", "(Ω) actual output voltage of ±15V model is")</f>
        <v>(Ω) actual output voltage of ±15V model is</v>
      </c>
      <c r="D11" s="111"/>
      <c r="E11" s="25">
        <f>IF(A6=12,(6590*0.1022*A6+(B11+1000)*A6)/(B11+1000+6590),
   IF(A6=15,(8431*0.0817*A6+(B11+1000)*A6)/(B11+1000+8431),""))</f>
        <v>13.938757669216219</v>
      </c>
      <c r="F11" s="81" t="s">
        <v>24</v>
      </c>
    </row>
    <row r="12" spans="1:9" x14ac:dyDescent="0.25">
      <c r="A12" s="6" t="s">
        <v>128</v>
      </c>
      <c r="B12" s="46"/>
      <c r="C12" s="77"/>
      <c r="D12" s="77"/>
      <c r="E12" s="47"/>
      <c r="F12" s="77"/>
    </row>
    <row r="14" spans="1:9" ht="30.75" customHeight="1" x14ac:dyDescent="0.25">
      <c r="A14" s="95" t="s">
        <v>127</v>
      </c>
      <c r="B14" s="96"/>
      <c r="C14" s="97"/>
      <c r="D14" s="95" t="s">
        <v>56</v>
      </c>
      <c r="E14" s="101"/>
      <c r="F14"/>
    </row>
    <row r="15" spans="1:9" ht="45" x14ac:dyDescent="0.25">
      <c r="A15" s="13" t="s">
        <v>53</v>
      </c>
      <c r="B15" s="13" t="s">
        <v>48</v>
      </c>
      <c r="C15" s="13" t="s">
        <v>45</v>
      </c>
      <c r="D15" s="13" t="s">
        <v>46</v>
      </c>
      <c r="E15" s="13" t="s">
        <v>54</v>
      </c>
      <c r="F15"/>
    </row>
    <row r="16" spans="1:9" x14ac:dyDescent="0.25">
      <c r="A16" s="28">
        <v>5.5</v>
      </c>
      <c r="B16" s="25">
        <f>IF(A16=5,"No trim",
IF(AND(A16&gt;5,A16&lt;=5.5),((566.18*5)/(A16-5))-1000,
IF(AND(A16&lt;5,A16&gt;=4.5),((2310*(0.2451*5-A16))/(A16-5))-1000,"out of range")))</f>
        <v>4661.7999999999993</v>
      </c>
      <c r="C16" s="25">
        <f>IF(A16=5, "No trim",
   IF(AND(A16&gt;=4.5, A16&lt;=5.5),(1.225*(1/2260+1/750+1/1000)-(A16/2260))*1000,"out of range"))</f>
        <v>0.96674041297935098</v>
      </c>
      <c r="D16" s="28">
        <v>1</v>
      </c>
      <c r="E16" s="37">
        <f>IF(AND(D16&gt;=0.967, D16&lt;=1.409),
(1.225*(1/2260+1/750+1/1000)*1000 - D16)*(2260/1000), "out of range")</f>
        <v>5.4248333333333321</v>
      </c>
      <c r="F16"/>
    </row>
    <row r="18" spans="1:8" x14ac:dyDescent="0.25">
      <c r="A18" s="94" t="s">
        <v>23</v>
      </c>
      <c r="B18" s="87"/>
      <c r="C18" s="87"/>
      <c r="D18" s="87"/>
      <c r="E18" s="87"/>
      <c r="F18" s="87"/>
    </row>
    <row r="19" spans="1:8" x14ac:dyDescent="0.25">
      <c r="A19" s="81" t="s">
        <v>129</v>
      </c>
      <c r="B19" s="82">
        <v>4661</v>
      </c>
      <c r="C19" s="111" t="s">
        <v>121</v>
      </c>
      <c r="D19" s="111"/>
      <c r="E19" s="25">
        <f>(2830.9/(B19+1000))+5</f>
        <v>5.5000706588941881</v>
      </c>
      <c r="F19" s="81" t="s">
        <v>24</v>
      </c>
    </row>
    <row r="20" spans="1:8" x14ac:dyDescent="0.25">
      <c r="A20" s="80"/>
      <c r="B20" s="46"/>
      <c r="C20" s="77"/>
      <c r="D20" s="77"/>
      <c r="E20" s="47"/>
      <c r="F20" s="77"/>
    </row>
    <row r="21" spans="1:8" ht="18.75" x14ac:dyDescent="0.3">
      <c r="A21" s="81" t="s">
        <v>13</v>
      </c>
      <c r="B21" s="82">
        <v>14128</v>
      </c>
      <c r="C21" s="111" t="s">
        <v>121</v>
      </c>
      <c r="D21" s="111"/>
      <c r="E21" s="25">
        <f>(1.225*2310+5*(B21+1000))/(2310+(B21+1000))</f>
        <v>4.4999283174675995</v>
      </c>
      <c r="F21" s="81" t="s">
        <v>24</v>
      </c>
      <c r="G21" s="86" t="s">
        <v>90</v>
      </c>
      <c r="H21" s="86"/>
    </row>
  </sheetData>
  <sheetProtection sheet="1" selectLockedCells="1"/>
  <mergeCells count="14">
    <mergeCell ref="A4:D4"/>
    <mergeCell ref="D14:E14"/>
    <mergeCell ref="A1:I1"/>
    <mergeCell ref="A2:I2"/>
    <mergeCell ref="A3:I3"/>
    <mergeCell ref="E4:F4"/>
    <mergeCell ref="A8:F8"/>
    <mergeCell ref="C11:D11"/>
    <mergeCell ref="C9:D9"/>
    <mergeCell ref="G21:H21"/>
    <mergeCell ref="A14:C14"/>
    <mergeCell ref="A18:F18"/>
    <mergeCell ref="C19:D19"/>
    <mergeCell ref="C21:D21"/>
  </mergeCells>
  <conditionalFormatting sqref="B6">
    <cfRule type="expression" dxfId="13" priority="10">
      <formula>OR(AND(A6=12, OR(B6&lt;10.8, B6&gt;13.2)), AND(A6=15, OR(B6&lt;13.5, B6&gt;16.5)))</formula>
    </cfRule>
  </conditionalFormatting>
  <conditionalFormatting sqref="C6">
    <cfRule type="expression" dxfId="12" priority="9">
      <formula>C6="out of range"</formula>
    </cfRule>
  </conditionalFormatting>
  <conditionalFormatting sqref="D6">
    <cfRule type="expression" dxfId="11" priority="8">
      <formula>D6="out of range"</formula>
    </cfRule>
  </conditionalFormatting>
  <conditionalFormatting sqref="F6">
    <cfRule type="expression" dxfId="10" priority="7">
      <formula>F6="out of range"</formula>
    </cfRule>
  </conditionalFormatting>
  <conditionalFormatting sqref="E9">
    <cfRule type="expression" dxfId="9" priority="6">
      <formula>E9&gt;A6*1.1</formula>
    </cfRule>
  </conditionalFormatting>
  <conditionalFormatting sqref="E16">
    <cfRule type="expression" dxfId="8" priority="5">
      <formula>E16="out of range"</formula>
    </cfRule>
  </conditionalFormatting>
  <conditionalFormatting sqref="B16">
    <cfRule type="expression" dxfId="7" priority="3">
      <formula>B16="out of range"</formula>
    </cfRule>
  </conditionalFormatting>
  <conditionalFormatting sqref="C16">
    <cfRule type="expression" dxfId="6" priority="2">
      <formula>C16="out of range"</formula>
    </cfRule>
  </conditionalFormatting>
  <conditionalFormatting sqref="E11">
    <cfRule type="expression" dxfId="5" priority="1">
      <formula>E11&lt;A6*0.9</formula>
    </cfRule>
  </conditionalFormatting>
  <dataValidations count="1">
    <dataValidation type="list" allowBlank="1" showInputMessage="1" showErrorMessage="1" sqref="A6" xr:uid="{1AFF5E99-30E5-4C01-A9C2-19EEE8509932}">
      <formula1>"12,15"</formula1>
    </dataValidation>
  </dataValidations>
  <hyperlinks>
    <hyperlink ref="G21" location="product!A1" display="Go To Product Page!" xr:uid="{9B49B6DF-3E5F-449C-8916-25BC810526F1}"/>
  </hyperlinks>
  <pageMargins left="0.7" right="0.7" top="0.75" bottom="0.75" header="0.3" footer="0.3"/>
  <pageSetup scale="80" orientation="landscape" r:id="rId1"/>
  <headerFooter>
    <oddHeader>&amp;CTrim Resistor Calculator</oddHeader>
    <oddFooter>&amp;L068-0000002 Rev J&amp;CSynQor, Inc.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G15"/>
  <sheetViews>
    <sheetView showGridLines="0" showRowColHeaders="0" showRuler="0" view="pageLayout" zoomScaleNormal="100" workbookViewId="0">
      <selection activeCell="F15" sqref="F15:G15"/>
    </sheetView>
  </sheetViews>
  <sheetFormatPr defaultColWidth="8.85546875" defaultRowHeight="15" x14ac:dyDescent="0.25"/>
  <cols>
    <col min="1" max="7" width="15.7109375" customWidth="1"/>
  </cols>
  <sheetData>
    <row r="1" spans="1:7" ht="18.75" x14ac:dyDescent="0.25">
      <c r="A1" s="89" t="s">
        <v>55</v>
      </c>
      <c r="B1" s="89"/>
      <c r="C1" s="89"/>
      <c r="D1" s="89"/>
      <c r="E1" s="89"/>
      <c r="F1" s="89"/>
      <c r="G1" s="89"/>
    </row>
    <row r="2" spans="1:7" x14ac:dyDescent="0.25">
      <c r="A2" s="90" t="s">
        <v>25</v>
      </c>
      <c r="B2" s="90"/>
      <c r="C2" s="90"/>
      <c r="D2" s="90"/>
      <c r="E2" s="90"/>
      <c r="F2" s="90"/>
      <c r="G2" s="90"/>
    </row>
    <row r="3" spans="1:7" ht="45" x14ac:dyDescent="0.25">
      <c r="A3" s="13" t="s">
        <v>41</v>
      </c>
      <c r="B3" s="13" t="s">
        <v>42</v>
      </c>
      <c r="C3" s="13" t="s">
        <v>43</v>
      </c>
      <c r="D3" s="14" t="s">
        <v>44</v>
      </c>
      <c r="E3" s="13" t="s">
        <v>45</v>
      </c>
      <c r="F3" s="13" t="s">
        <v>46</v>
      </c>
      <c r="G3" s="13" t="s">
        <v>47</v>
      </c>
    </row>
    <row r="4" spans="1:7" x14ac:dyDescent="0.25">
      <c r="A4" s="34">
        <v>28</v>
      </c>
      <c r="B4" s="34">
        <v>29</v>
      </c>
      <c r="C4" s="19">
        <f>(((B4-1.225)*1000)/(1.225*((B4/A4)-1)))-2000</f>
        <v>632857.14285714109</v>
      </c>
      <c r="D4" s="19">
        <f>(((B4/A4)*2000)-1000)/((1-(B4/A4)))</f>
        <v>-29999.999999999924</v>
      </c>
      <c r="E4" s="25">
        <f>2.45*((B4/A4)-1)+1.225</f>
        <v>1.3125000000000004</v>
      </c>
      <c r="F4" s="31">
        <v>1.1339999999999999</v>
      </c>
      <c r="G4" s="37">
        <f>A4*(((F4-1.225)/2.45)+1)</f>
        <v>26.959999999999997</v>
      </c>
    </row>
    <row r="5" spans="1:7" ht="5.25" customHeight="1" x14ac:dyDescent="0.25">
      <c r="A5" s="77"/>
      <c r="B5" s="77"/>
      <c r="C5" s="77"/>
      <c r="D5" s="77"/>
      <c r="E5" s="77"/>
      <c r="F5" s="77"/>
      <c r="G5" s="77"/>
    </row>
    <row r="6" spans="1:7" ht="18" customHeight="1" x14ac:dyDescent="0.25">
      <c r="A6" s="87" t="s">
        <v>23</v>
      </c>
      <c r="B6" s="87"/>
      <c r="C6" s="87"/>
      <c r="D6" s="87"/>
      <c r="E6" s="87"/>
      <c r="F6" s="87"/>
      <c r="G6" s="87"/>
    </row>
    <row r="7" spans="1:7" x14ac:dyDescent="0.25">
      <c r="A7" s="88" t="s">
        <v>26</v>
      </c>
      <c r="B7" s="91"/>
      <c r="C7" s="32">
        <v>123000</v>
      </c>
      <c r="D7" s="92" t="s">
        <v>32</v>
      </c>
      <c r="E7" s="93"/>
      <c r="F7" s="37">
        <f>(((1225/(2000+C7))-1.225)/((1000/(2000+C7))-(1.225/A4)))</f>
        <v>33.991608391608388</v>
      </c>
      <c r="G7" s="77" t="s">
        <v>24</v>
      </c>
    </row>
    <row r="8" spans="1:7" x14ac:dyDescent="0.25">
      <c r="A8" s="77"/>
      <c r="B8" s="77"/>
      <c r="C8" s="21"/>
      <c r="D8" s="77"/>
      <c r="E8" s="77"/>
      <c r="F8" s="22"/>
      <c r="G8" s="77"/>
    </row>
    <row r="9" spans="1:7" x14ac:dyDescent="0.25">
      <c r="A9" s="88" t="s">
        <v>13</v>
      </c>
      <c r="B9" s="91"/>
      <c r="C9" s="32">
        <v>25000</v>
      </c>
      <c r="D9" s="92" t="s">
        <v>32</v>
      </c>
      <c r="E9" s="93"/>
      <c r="F9" s="37">
        <f>(A4*(1000+C9))/(2000+C9)</f>
        <v>26.962962962962962</v>
      </c>
      <c r="G9" s="77" t="s">
        <v>24</v>
      </c>
    </row>
    <row r="10" spans="1:7" x14ac:dyDescent="0.25">
      <c r="A10" s="77"/>
      <c r="B10" s="77"/>
      <c r="C10" s="77"/>
      <c r="D10" s="77"/>
      <c r="E10" s="77"/>
      <c r="F10" s="77"/>
      <c r="G10" s="77"/>
    </row>
    <row r="11" spans="1:7" x14ac:dyDescent="0.25">
      <c r="A11" s="88" t="s">
        <v>40</v>
      </c>
      <c r="B11" s="88"/>
      <c r="C11" s="88"/>
      <c r="D11" s="88"/>
      <c r="E11" s="88"/>
      <c r="F11" s="88"/>
      <c r="G11" s="88"/>
    </row>
    <row r="12" spans="1:7" x14ac:dyDescent="0.25">
      <c r="A12" s="77"/>
      <c r="B12" s="77"/>
      <c r="C12" s="77"/>
      <c r="D12" s="77"/>
      <c r="E12" s="77"/>
      <c r="F12" s="77"/>
      <c r="G12" s="77"/>
    </row>
    <row r="13" spans="1:7" x14ac:dyDescent="0.25">
      <c r="A13" s="7"/>
      <c r="B13" s="7"/>
      <c r="C13" s="7"/>
      <c r="D13" s="7"/>
      <c r="E13" s="7"/>
      <c r="F13" s="7"/>
      <c r="G13" s="7"/>
    </row>
    <row r="14" spans="1:7" x14ac:dyDescent="0.25">
      <c r="A14" s="7"/>
      <c r="B14" s="7"/>
      <c r="C14" s="7"/>
      <c r="D14" s="7"/>
      <c r="E14" s="7"/>
      <c r="F14" s="7"/>
      <c r="G14" s="7"/>
    </row>
    <row r="15" spans="1:7" ht="18.75" x14ac:dyDescent="0.3">
      <c r="A15" s="7"/>
      <c r="B15" s="7"/>
      <c r="C15" s="7"/>
      <c r="D15" s="7"/>
      <c r="E15" s="7"/>
      <c r="F15" s="86" t="s">
        <v>90</v>
      </c>
      <c r="G15" s="86"/>
    </row>
  </sheetData>
  <sheetProtection sheet="1" selectLockedCells="1"/>
  <mergeCells count="9">
    <mergeCell ref="F15:G15"/>
    <mergeCell ref="A6:G6"/>
    <mergeCell ref="A11:G11"/>
    <mergeCell ref="A1:G1"/>
    <mergeCell ref="A2:G2"/>
    <mergeCell ref="A7:B7"/>
    <mergeCell ref="A9:B9"/>
    <mergeCell ref="D7:E7"/>
    <mergeCell ref="D9:E9"/>
  </mergeCells>
  <conditionalFormatting sqref="C4:D4">
    <cfRule type="cellIs" dxfId="40" priority="1" operator="lessThan">
      <formula>0</formula>
    </cfRule>
  </conditionalFormatting>
  <hyperlinks>
    <hyperlink ref="F15" location="product!A1" display="Go To Product Page!" xr:uid="{00000000-0004-0000-0100-000000000000}"/>
  </hyperlinks>
  <pageMargins left="0.7" right="0.7" top="0.75" bottom="0.75" header="0.3" footer="0.3"/>
  <pageSetup orientation="landscape" r:id="rId1"/>
  <headerFooter>
    <oddHeader>&amp;CTrim Resistor Calculator</oddHeader>
    <oddFooter>&amp;L068-0000002 Rev J&amp;CSynQor, Inc.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748432-A191-4999-AF77-2FA113F37AE8}">
  <sheetPr>
    <pageSetUpPr fitToPage="1"/>
  </sheetPr>
  <dimension ref="A1:G17"/>
  <sheetViews>
    <sheetView showGridLines="0" showRowColHeaders="0" showRuler="0" view="pageLayout" zoomScaleNormal="100" workbookViewId="0">
      <selection activeCell="F15" sqref="F15:G15"/>
    </sheetView>
  </sheetViews>
  <sheetFormatPr defaultRowHeight="15" x14ac:dyDescent="0.25"/>
  <cols>
    <col min="1" max="6" width="15.7109375" customWidth="1"/>
    <col min="7" max="7" width="14.42578125" customWidth="1"/>
  </cols>
  <sheetData>
    <row r="1" spans="1:7" ht="18.75" x14ac:dyDescent="0.25">
      <c r="A1" s="89" t="s">
        <v>55</v>
      </c>
      <c r="B1" s="89"/>
      <c r="C1" s="89"/>
      <c r="D1" s="89"/>
      <c r="E1" s="89"/>
      <c r="F1" s="89"/>
      <c r="G1" s="89"/>
    </row>
    <row r="2" spans="1:7" x14ac:dyDescent="0.25">
      <c r="A2" s="90" t="s">
        <v>25</v>
      </c>
      <c r="B2" s="90"/>
      <c r="C2" s="90"/>
      <c r="D2" s="90"/>
      <c r="E2" s="90"/>
      <c r="F2" s="90"/>
      <c r="G2" s="90"/>
    </row>
    <row r="3" spans="1:7" ht="45" x14ac:dyDescent="0.25">
      <c r="A3" s="13" t="s">
        <v>41</v>
      </c>
      <c r="B3" s="13" t="s">
        <v>42</v>
      </c>
      <c r="C3" s="13" t="s">
        <v>112</v>
      </c>
      <c r="D3" s="14" t="s">
        <v>113</v>
      </c>
      <c r="E3" s="13" t="s">
        <v>45</v>
      </c>
      <c r="F3" s="13" t="s">
        <v>46</v>
      </c>
      <c r="G3" s="13" t="s">
        <v>47</v>
      </c>
    </row>
    <row r="4" spans="1:7" x14ac:dyDescent="0.25">
      <c r="A4" s="68">
        <v>800</v>
      </c>
      <c r="B4" s="34">
        <v>800</v>
      </c>
      <c r="C4" s="84" t="str">
        <f>IF(OR(AND(A4=800,B4=800),AND(A4=1000,B4=1000)),
"no trim needed",
IF(AND(B4&gt;A4,B4&lt;=A4*1.1),(0.475*A4*((ABS(A4-B4)/A4*100)+100))/((ABS(A4-B4)/A4*100)*1.225)-39.57/(ABS(A4-B4)/A4*100)-1.766,
IF(B4&gt;A4*1.1,"out of range","")))</f>
        <v>no trim needed</v>
      </c>
      <c r="D4" s="84" t="str">
        <f>IF(OR(AND(A4=800,B4=800),AND(A4=1000,B4=1000)),
"no trim needed",
IF(AND(B4&lt;A4,B4&gt;=A4*0.8),(39.57/((A4-B4)/A4*100))-1.766,
IF(B4&lt;A4*0.8,"out of range","")))</f>
        <v>no trim needed</v>
      </c>
      <c r="E4" s="64" t="str">
        <f>IF(
OR(AND(A4=800,B4=800),AND(A4=1000,B4=1000)),
"no trim needed",
IF(
AND(A4=800,B4&gt;=A4*0.8,B4&lt;=A4*1.1),
0.00552*B4-2.773*1.225,
IF(AND(A4=1000,B4&gt;=A4*0.8,B4&lt;=A4*1.1),
0.004413*B4-2.795*1.225,"")))</f>
        <v>no trim needed</v>
      </c>
      <c r="F4" s="28">
        <v>1</v>
      </c>
      <c r="G4" s="56">
        <f>_xlfn.IFS(AND(A4=800,F4&lt;=1.5,F4&gt;=0.13),(F4+2.773*1.225)/0.00552,AND(A4=1000,F4&lt;=1.5, F4&gt;=0.1),(F4+2.795*1.225)/0.004413)</f>
        <v>796.54438405797111</v>
      </c>
    </row>
    <row r="5" spans="1:7" ht="5.25" customHeight="1" x14ac:dyDescent="0.25">
      <c r="A5" s="77"/>
      <c r="B5" s="77"/>
      <c r="C5" s="77"/>
      <c r="D5" s="77"/>
      <c r="E5" s="77"/>
      <c r="F5" s="77"/>
      <c r="G5" s="77"/>
    </row>
    <row r="6" spans="1:7" ht="18" customHeight="1" x14ac:dyDescent="0.25">
      <c r="A6" s="87" t="s">
        <v>23</v>
      </c>
      <c r="B6" s="87"/>
      <c r="C6" s="87"/>
      <c r="D6" s="87"/>
      <c r="E6" s="87"/>
      <c r="F6" s="87"/>
      <c r="G6" s="87"/>
    </row>
    <row r="7" spans="1:7" x14ac:dyDescent="0.25">
      <c r="A7" s="88" t="s">
        <v>26</v>
      </c>
      <c r="B7" s="91"/>
      <c r="C7" s="28">
        <v>6504.6059999999998</v>
      </c>
      <c r="D7" s="92" t="s">
        <v>83</v>
      </c>
      <c r="E7" s="93"/>
      <c r="F7" s="56">
        <f>ROUNDDOWN((A4*(1370+(C7*1000))*1.225)/(1.225*(395.694+1370+(C7*1000))-475*A4),3)</f>
        <v>840</v>
      </c>
      <c r="G7" s="72" t="s">
        <v>24</v>
      </c>
    </row>
    <row r="8" spans="1:7" x14ac:dyDescent="0.25">
      <c r="A8" s="77"/>
      <c r="B8" s="77"/>
      <c r="C8" s="21"/>
      <c r="D8" s="77"/>
      <c r="E8" s="77"/>
      <c r="F8" s="22"/>
      <c r="G8" s="77"/>
    </row>
    <row r="9" spans="1:7" x14ac:dyDescent="0.25">
      <c r="A9" s="88" t="s">
        <v>13</v>
      </c>
      <c r="B9" s="91"/>
      <c r="C9" s="28">
        <v>0.33</v>
      </c>
      <c r="D9" s="92" t="s">
        <v>83</v>
      </c>
      <c r="E9" s="93"/>
      <c r="F9" s="56">
        <f>ROUNDDOWN(A4*(1-39.57/(100*(C9+1.766))),3)</f>
        <v>648.96900000000005</v>
      </c>
      <c r="G9" s="72" t="s">
        <v>24</v>
      </c>
    </row>
    <row r="10" spans="1:7" x14ac:dyDescent="0.25">
      <c r="A10" s="77"/>
      <c r="B10" s="77"/>
      <c r="C10" s="77"/>
      <c r="D10" s="77"/>
      <c r="E10" s="77"/>
      <c r="F10" s="77"/>
      <c r="G10" s="77"/>
    </row>
    <row r="11" spans="1:7" x14ac:dyDescent="0.25">
      <c r="A11" s="88" t="s">
        <v>40</v>
      </c>
      <c r="B11" s="88"/>
      <c r="C11" s="88"/>
      <c r="D11" s="88"/>
      <c r="E11" s="88"/>
      <c r="F11" s="88"/>
      <c r="G11" s="88"/>
    </row>
    <row r="12" spans="1:7" x14ac:dyDescent="0.25">
      <c r="A12" s="77"/>
      <c r="B12" s="77"/>
      <c r="C12" s="77"/>
      <c r="D12" s="77"/>
      <c r="E12" s="77"/>
      <c r="F12" s="77"/>
      <c r="G12" s="77"/>
    </row>
    <row r="13" spans="1:7" x14ac:dyDescent="0.25">
      <c r="A13" s="65"/>
      <c r="B13" s="66"/>
      <c r="C13" s="60"/>
      <c r="D13" s="7"/>
      <c r="E13" s="7"/>
      <c r="F13" s="7"/>
      <c r="G13" s="7"/>
    </row>
    <row r="14" spans="1:7" x14ac:dyDescent="0.25">
      <c r="A14" s="66"/>
      <c r="B14" s="66"/>
      <c r="C14" s="60"/>
      <c r="D14" s="60"/>
      <c r="E14" s="7"/>
      <c r="F14" s="7"/>
      <c r="G14" s="7"/>
    </row>
    <row r="15" spans="1:7" ht="18.75" x14ac:dyDescent="0.3">
      <c r="A15" s="66"/>
      <c r="B15" s="66"/>
      <c r="C15" s="60"/>
      <c r="D15" s="7"/>
      <c r="E15" s="7"/>
      <c r="F15" s="86" t="s">
        <v>90</v>
      </c>
      <c r="G15" s="86"/>
    </row>
    <row r="16" spans="1:7" x14ac:dyDescent="0.25">
      <c r="A16" s="66"/>
      <c r="B16" s="67"/>
      <c r="C16" s="59"/>
    </row>
    <row r="17" spans="1:3" x14ac:dyDescent="0.25">
      <c r="A17" s="59"/>
      <c r="B17" s="59"/>
      <c r="C17" s="59"/>
    </row>
  </sheetData>
  <sheetProtection sheet="1" selectLockedCells="1"/>
  <mergeCells count="9">
    <mergeCell ref="A11:G11"/>
    <mergeCell ref="F15:G15"/>
    <mergeCell ref="A1:G1"/>
    <mergeCell ref="A2:G2"/>
    <mergeCell ref="A6:G6"/>
    <mergeCell ref="A7:B7"/>
    <mergeCell ref="D7:E7"/>
    <mergeCell ref="A9:B9"/>
    <mergeCell ref="D9:E9"/>
  </mergeCells>
  <conditionalFormatting sqref="G4">
    <cfRule type="expression" dxfId="4" priority="5">
      <formula>OR(G4&lt;A4*0.79999,G4&gt;A4*1.1001)</formula>
    </cfRule>
  </conditionalFormatting>
  <conditionalFormatting sqref="C4">
    <cfRule type="expression" dxfId="3" priority="4">
      <formula>C4="out of range"</formula>
    </cfRule>
  </conditionalFormatting>
  <conditionalFormatting sqref="D4">
    <cfRule type="expression" dxfId="2" priority="3">
      <formula>D4="out of range"</formula>
    </cfRule>
  </conditionalFormatting>
  <conditionalFormatting sqref="F7">
    <cfRule type="expression" dxfId="1" priority="2">
      <formula>F7&gt;A4*1.1</formula>
    </cfRule>
  </conditionalFormatting>
  <conditionalFormatting sqref="F9">
    <cfRule type="expression" dxfId="0" priority="1">
      <formula>F9&lt;A4*0.8</formula>
    </cfRule>
  </conditionalFormatting>
  <dataValidations count="2">
    <dataValidation type="list" sqref="A4" xr:uid="{D0819ED6-ABC7-4195-9DF2-F46C0764C90F}">
      <formula1>"800,1000"</formula1>
    </dataValidation>
    <dataValidation type="custom" errorStyle="warning" allowBlank="1" showInputMessage="1" showErrorMessage="1" error="Attempting to Exceed Trim" sqref="F7" xr:uid="{2F7424ED-4D32-4469-90CD-A3E0E52A824B}">
      <formula1>ROUNDDOWN(F7,3)&gt;A4*1.1</formula1>
    </dataValidation>
  </dataValidations>
  <hyperlinks>
    <hyperlink ref="F15" location="product!A1" display="Go To Product Page!" xr:uid="{B5CF122F-E57B-4830-BC10-B6A82B49840F}"/>
  </hyperlinks>
  <pageMargins left="0.7" right="0.7" top="0.75" bottom="0.75" header="0.3" footer="0.3"/>
  <pageSetup orientation="landscape" r:id="rId1"/>
  <headerFooter>
    <oddHeader>&amp;CTrim Resistor Calculator</oddHeader>
    <oddFooter>&amp;L068-0000002 Rev J&amp;CSynQor, Inc.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5">
    <pageSetUpPr fitToPage="1"/>
  </sheetPr>
  <dimension ref="A1:G15"/>
  <sheetViews>
    <sheetView showGridLines="0" showRowColHeaders="0" showRuler="0" view="pageLayout" zoomScaleNormal="100" workbookViewId="0">
      <selection activeCell="F15" sqref="F15:G15"/>
    </sheetView>
  </sheetViews>
  <sheetFormatPr defaultColWidth="8.85546875" defaultRowHeight="15" x14ac:dyDescent="0.25"/>
  <cols>
    <col min="1" max="7" width="15.7109375" customWidth="1"/>
  </cols>
  <sheetData>
    <row r="1" spans="1:7" ht="18.75" x14ac:dyDescent="0.25">
      <c r="A1" s="89" t="s">
        <v>55</v>
      </c>
      <c r="B1" s="89"/>
      <c r="C1" s="89"/>
      <c r="D1" s="89"/>
      <c r="E1" s="89"/>
      <c r="F1" s="89"/>
      <c r="G1" s="89"/>
    </row>
    <row r="2" spans="1:7" x14ac:dyDescent="0.25">
      <c r="A2" s="90" t="s">
        <v>25</v>
      </c>
      <c r="B2" s="90"/>
      <c r="C2" s="90"/>
      <c r="D2" s="90"/>
      <c r="E2" s="90"/>
      <c r="F2" s="90"/>
      <c r="G2" s="90"/>
    </row>
    <row r="3" spans="1:7" ht="45" x14ac:dyDescent="0.25">
      <c r="A3" s="13" t="s">
        <v>41</v>
      </c>
      <c r="B3" s="13" t="s">
        <v>42</v>
      </c>
      <c r="C3" s="13" t="s">
        <v>43</v>
      </c>
      <c r="D3" s="14" t="s">
        <v>44</v>
      </c>
      <c r="E3" s="13" t="s">
        <v>45</v>
      </c>
      <c r="F3" s="13" t="s">
        <v>46</v>
      </c>
      <c r="G3" s="13" t="s">
        <v>47</v>
      </c>
    </row>
    <row r="4" spans="1:7" x14ac:dyDescent="0.25">
      <c r="A4" s="34">
        <v>10</v>
      </c>
      <c r="B4" s="34">
        <v>9</v>
      </c>
      <c r="C4" s="19">
        <f>(((B4-1.225)*5110)/(1.225*((B4/A4)-1)))-10220</f>
        <v>-334548.57142857148</v>
      </c>
      <c r="D4" s="19">
        <f>(((B4/A4)*10220)-5110)/((1-(B4/A4)))</f>
        <v>40880.000000000007</v>
      </c>
      <c r="E4" s="25">
        <f>2.45*((B4/A4)-1)+1.225</f>
        <v>0.98000000000000009</v>
      </c>
      <c r="F4" s="31">
        <v>1.47</v>
      </c>
      <c r="G4" s="37">
        <f>A4*(((F4-1.225)/2.45)+1)</f>
        <v>10.999999999999998</v>
      </c>
    </row>
    <row r="5" spans="1:7" ht="5.25" customHeight="1" x14ac:dyDescent="0.25">
      <c r="A5" s="16"/>
      <c r="B5" s="16"/>
      <c r="C5" s="16"/>
      <c r="D5" s="16"/>
      <c r="E5" s="16"/>
      <c r="F5" s="16"/>
      <c r="G5" s="16"/>
    </row>
    <row r="6" spans="1:7" ht="18" customHeight="1" x14ac:dyDescent="0.25">
      <c r="A6" s="87" t="s">
        <v>23</v>
      </c>
      <c r="B6" s="87"/>
      <c r="C6" s="87"/>
      <c r="D6" s="87"/>
      <c r="E6" s="87"/>
      <c r="F6" s="87"/>
      <c r="G6" s="87"/>
    </row>
    <row r="7" spans="1:7" x14ac:dyDescent="0.25">
      <c r="A7" s="88" t="s">
        <v>26</v>
      </c>
      <c r="B7" s="91"/>
      <c r="C7" s="32">
        <v>400000</v>
      </c>
      <c r="D7" s="92" t="s">
        <v>32</v>
      </c>
      <c r="E7" s="93"/>
      <c r="F7" s="37">
        <f>(((6259/(10220+C7))-1.225)/((5110/(10220+C7))-(1.225/A4)))</f>
        <v>10.993333252108073</v>
      </c>
      <c r="G7" s="16" t="s">
        <v>24</v>
      </c>
    </row>
    <row r="8" spans="1:7" x14ac:dyDescent="0.25">
      <c r="A8" s="16"/>
      <c r="B8" s="16"/>
      <c r="C8" s="21"/>
      <c r="D8" s="16"/>
      <c r="E8" s="16"/>
      <c r="F8" s="22"/>
      <c r="G8" s="16"/>
    </row>
    <row r="9" spans="1:7" x14ac:dyDescent="0.25">
      <c r="A9" s="88" t="s">
        <v>13</v>
      </c>
      <c r="B9" s="91"/>
      <c r="C9" s="32">
        <v>15330</v>
      </c>
      <c r="D9" s="92" t="s">
        <v>32</v>
      </c>
      <c r="E9" s="93"/>
      <c r="F9" s="37">
        <f>(A4*(5110+C9))/(10220+C9)</f>
        <v>8</v>
      </c>
      <c r="G9" s="16" t="s">
        <v>24</v>
      </c>
    </row>
    <row r="10" spans="1:7" x14ac:dyDescent="0.25">
      <c r="A10" s="16"/>
      <c r="B10" s="16"/>
      <c r="C10" s="16"/>
      <c r="D10" s="16"/>
      <c r="E10" s="16"/>
      <c r="F10" s="16"/>
      <c r="G10" s="16"/>
    </row>
    <row r="11" spans="1:7" x14ac:dyDescent="0.25">
      <c r="A11" s="88" t="s">
        <v>40</v>
      </c>
      <c r="B11" s="88"/>
      <c r="C11" s="88"/>
      <c r="D11" s="88"/>
      <c r="E11" s="88"/>
      <c r="F11" s="88"/>
      <c r="G11" s="88"/>
    </row>
    <row r="12" spans="1:7" x14ac:dyDescent="0.25">
      <c r="A12" s="16"/>
      <c r="B12" s="16"/>
      <c r="C12" s="16"/>
      <c r="D12" s="16"/>
      <c r="E12" s="16"/>
      <c r="F12" s="16"/>
      <c r="G12" s="16"/>
    </row>
    <row r="13" spans="1:7" x14ac:dyDescent="0.25">
      <c r="A13" s="7"/>
      <c r="B13" s="7"/>
      <c r="C13" s="7"/>
      <c r="D13" s="7"/>
      <c r="E13" s="7"/>
      <c r="F13" s="7"/>
      <c r="G13" s="7"/>
    </row>
    <row r="14" spans="1:7" x14ac:dyDescent="0.25">
      <c r="A14" s="7"/>
      <c r="B14" s="7"/>
      <c r="C14" s="7"/>
      <c r="D14" s="7"/>
      <c r="E14" s="7"/>
      <c r="F14" s="7"/>
      <c r="G14" s="7"/>
    </row>
    <row r="15" spans="1:7" ht="18.75" x14ac:dyDescent="0.3">
      <c r="A15" s="7"/>
      <c r="B15" s="7"/>
      <c r="C15" s="7"/>
      <c r="D15" s="7"/>
      <c r="E15" s="7"/>
      <c r="F15" s="86" t="s">
        <v>90</v>
      </c>
      <c r="G15" s="86"/>
    </row>
  </sheetData>
  <sheetProtection sheet="1" selectLockedCells="1"/>
  <mergeCells count="9">
    <mergeCell ref="F15:G15"/>
    <mergeCell ref="A11:G11"/>
    <mergeCell ref="A1:G1"/>
    <mergeCell ref="A2:G2"/>
    <mergeCell ref="A6:G6"/>
    <mergeCell ref="A7:B7"/>
    <mergeCell ref="A9:B9"/>
    <mergeCell ref="D7:E7"/>
    <mergeCell ref="D9:E9"/>
  </mergeCells>
  <conditionalFormatting sqref="C4:D4">
    <cfRule type="cellIs" dxfId="39" priority="1" operator="lessThan">
      <formula>0</formula>
    </cfRule>
  </conditionalFormatting>
  <conditionalFormatting sqref="D4">
    <cfRule type="cellIs" dxfId="38" priority="2" operator="lessThan">
      <formula>15330</formula>
    </cfRule>
  </conditionalFormatting>
  <hyperlinks>
    <hyperlink ref="F15" location="product!A1" display="Go To Product Page!" xr:uid="{00000000-0004-0000-0200-000000000000}"/>
  </hyperlinks>
  <pageMargins left="0.7" right="0.7" top="0.75" bottom="0.75" header="0.3" footer="0.3"/>
  <pageSetup orientation="landscape" r:id="rId1"/>
  <headerFooter>
    <oddHeader>&amp;CTrim Resistor Calculator</oddHeader>
    <oddFooter>&amp;L068-0000002 Rev J&amp;CSynQor, Inc.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6">
    <pageSetUpPr fitToPage="1"/>
  </sheetPr>
  <dimension ref="A1:G15"/>
  <sheetViews>
    <sheetView showGridLines="0" showRowColHeaders="0" showRuler="0" view="pageLayout" zoomScaleNormal="100" workbookViewId="0">
      <selection activeCell="A4" sqref="A4"/>
    </sheetView>
  </sheetViews>
  <sheetFormatPr defaultColWidth="8.85546875" defaultRowHeight="15" x14ac:dyDescent="0.25"/>
  <cols>
    <col min="1" max="7" width="15.7109375" customWidth="1"/>
    <col min="10" max="10" width="13.140625" bestFit="1" customWidth="1"/>
  </cols>
  <sheetData>
    <row r="1" spans="1:7" ht="18.75" x14ac:dyDescent="0.25">
      <c r="A1" s="89" t="s">
        <v>55</v>
      </c>
      <c r="B1" s="89"/>
      <c r="C1" s="89"/>
      <c r="D1" s="89"/>
      <c r="E1" s="89"/>
      <c r="F1" s="89"/>
      <c r="G1" s="89"/>
    </row>
    <row r="2" spans="1:7" x14ac:dyDescent="0.25">
      <c r="A2" s="90" t="s">
        <v>25</v>
      </c>
      <c r="B2" s="90"/>
      <c r="C2" s="90"/>
      <c r="D2" s="90"/>
      <c r="E2" s="90"/>
      <c r="F2" s="90"/>
      <c r="G2" s="90"/>
    </row>
    <row r="3" spans="1:7" ht="45" x14ac:dyDescent="0.25">
      <c r="A3" s="13" t="s">
        <v>41</v>
      </c>
      <c r="B3" s="13" t="s">
        <v>42</v>
      </c>
      <c r="C3" s="13" t="s">
        <v>43</v>
      </c>
      <c r="D3" s="14" t="s">
        <v>44</v>
      </c>
      <c r="E3" s="13" t="s">
        <v>45</v>
      </c>
      <c r="F3" s="13" t="s">
        <v>46</v>
      </c>
      <c r="G3" s="13" t="s">
        <v>47</v>
      </c>
    </row>
    <row r="4" spans="1:7" x14ac:dyDescent="0.25">
      <c r="A4" s="34">
        <v>5</v>
      </c>
      <c r="B4" s="34">
        <v>4.5</v>
      </c>
      <c r="C4" s="19">
        <f>(B4-(1.1136*B4/A4))/((1.1136*B4/(A4*10000))+(1.1136*B4/(A4*1000))-((1.225/1000)))</f>
        <v>-28544.754194685614</v>
      </c>
      <c r="D4" s="19">
        <f>10000*(B4*1.1136/A4)/(12.25-11*(B4*1.1136/A4))</f>
        <v>8179.1473526147402</v>
      </c>
      <c r="E4" s="25">
        <f>B4*1.225/(A4*1.1)</f>
        <v>1.0022727272727272</v>
      </c>
      <c r="F4" s="31">
        <v>1.2250000000000001</v>
      </c>
      <c r="G4" s="37">
        <f>F4*A4*1.1/1.225</f>
        <v>5.5</v>
      </c>
    </row>
    <row r="5" spans="1:7" ht="5.25" customHeight="1" x14ac:dyDescent="0.25">
      <c r="A5" s="77"/>
      <c r="B5" s="77"/>
      <c r="C5" s="77"/>
      <c r="D5" s="77"/>
      <c r="E5" s="77"/>
      <c r="F5" s="77"/>
      <c r="G5" s="77"/>
    </row>
    <row r="6" spans="1:7" ht="18" customHeight="1" x14ac:dyDescent="0.25">
      <c r="A6" s="87" t="s">
        <v>23</v>
      </c>
      <c r="B6" s="87"/>
      <c r="C6" s="87"/>
      <c r="D6" s="87"/>
      <c r="E6" s="87"/>
      <c r="F6" s="87"/>
      <c r="G6" s="87"/>
    </row>
    <row r="7" spans="1:7" x14ac:dyDescent="0.25">
      <c r="A7" s="88" t="s">
        <v>26</v>
      </c>
      <c r="B7" s="91"/>
      <c r="C7" s="32">
        <v>34899</v>
      </c>
      <c r="D7" s="92" t="s">
        <v>32</v>
      </c>
      <c r="E7" s="93"/>
      <c r="F7" s="37">
        <f>((1.225*10000*C7)/(10000+C7))  / (1000+((10000*C7)/(10000+C7))) /  ((1.1136/A4)-(909/((909+C7))))</f>
        <v>5.5001173346482011</v>
      </c>
      <c r="G7" s="77" t="s">
        <v>24</v>
      </c>
    </row>
    <row r="8" spans="1:7" x14ac:dyDescent="0.25">
      <c r="A8" s="77"/>
      <c r="B8" s="77"/>
      <c r="C8" s="21"/>
      <c r="D8" s="77"/>
      <c r="E8" s="77"/>
      <c r="F8" s="22"/>
      <c r="G8" s="77"/>
    </row>
    <row r="9" spans="1:7" x14ac:dyDescent="0.25">
      <c r="A9" s="88" t="s">
        <v>13</v>
      </c>
      <c r="B9" s="91"/>
      <c r="C9" s="32">
        <v>3636</v>
      </c>
      <c r="D9" s="92" t="s">
        <v>32</v>
      </c>
      <c r="E9" s="93"/>
      <c r="F9" s="37">
        <f>(1.225*A4*C9*10000/(C9+10000) / (1113.6+(1.1136*(C9*10000/(C9+10000)))))</f>
        <v>4.0000506074968758</v>
      </c>
      <c r="G9" s="77" t="s">
        <v>24</v>
      </c>
    </row>
    <row r="10" spans="1:7" x14ac:dyDescent="0.25">
      <c r="A10" s="77"/>
      <c r="B10" s="77"/>
      <c r="C10" s="77"/>
      <c r="D10" s="77"/>
      <c r="E10" s="77"/>
      <c r="F10" s="77"/>
      <c r="G10" s="77"/>
    </row>
    <row r="11" spans="1:7" x14ac:dyDescent="0.25">
      <c r="A11" s="88" t="s">
        <v>40</v>
      </c>
      <c r="B11" s="88"/>
      <c r="C11" s="88"/>
      <c r="D11" s="88"/>
      <c r="E11" s="88"/>
      <c r="F11" s="88"/>
      <c r="G11" s="88"/>
    </row>
    <row r="12" spans="1:7" x14ac:dyDescent="0.25">
      <c r="A12" s="77"/>
      <c r="B12" s="77"/>
      <c r="C12" s="77"/>
      <c r="D12" s="77"/>
      <c r="E12" s="77"/>
      <c r="F12" s="77"/>
      <c r="G12" s="77"/>
    </row>
    <row r="13" spans="1:7" x14ac:dyDescent="0.25">
      <c r="A13" s="7"/>
      <c r="B13" s="7"/>
      <c r="C13" s="7"/>
      <c r="D13" s="7"/>
      <c r="E13" s="7"/>
      <c r="F13" s="7"/>
      <c r="G13" s="7"/>
    </row>
    <row r="14" spans="1:7" x14ac:dyDescent="0.25">
      <c r="A14" s="7"/>
      <c r="B14" s="7"/>
      <c r="C14" s="7"/>
      <c r="D14" s="7"/>
      <c r="E14" s="7"/>
      <c r="F14" s="7"/>
      <c r="G14" s="7"/>
    </row>
    <row r="15" spans="1:7" ht="18.75" x14ac:dyDescent="0.3">
      <c r="A15" s="7"/>
      <c r="B15" s="7"/>
      <c r="C15" s="7"/>
      <c r="D15" s="7"/>
      <c r="E15" s="7"/>
      <c r="F15" s="86" t="s">
        <v>90</v>
      </c>
      <c r="G15" s="86"/>
    </row>
  </sheetData>
  <sheetProtection sheet="1" selectLockedCells="1"/>
  <mergeCells count="9">
    <mergeCell ref="A1:G1"/>
    <mergeCell ref="A2:G2"/>
    <mergeCell ref="A6:G6"/>
    <mergeCell ref="A11:G11"/>
    <mergeCell ref="F15:G15"/>
    <mergeCell ref="A7:B7"/>
    <mergeCell ref="D7:E7"/>
    <mergeCell ref="A9:B9"/>
    <mergeCell ref="D9:E9"/>
  </mergeCells>
  <conditionalFormatting sqref="C4:D4">
    <cfRule type="cellIs" dxfId="37" priority="1" operator="lessThan">
      <formula>0</formula>
    </cfRule>
  </conditionalFormatting>
  <hyperlinks>
    <hyperlink ref="F15" location="product!A1" display="Go To Product Page!" xr:uid="{00000000-0004-0000-0300-000000000000}"/>
  </hyperlinks>
  <pageMargins left="0.7" right="0.7" top="0.75" bottom="0.75" header="0.3" footer="0.3"/>
  <pageSetup orientation="landscape" r:id="rId1"/>
  <headerFooter>
    <oddHeader>&amp;CTrim Resistor Calculator</oddHeader>
    <oddFooter>&amp;L068-0000002 Rev J&amp;CSynQor, Inc.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0">
    <pageSetUpPr fitToPage="1"/>
  </sheetPr>
  <dimension ref="A1:I20"/>
  <sheetViews>
    <sheetView showGridLines="0" showRowColHeaders="0" showRuler="0" view="pageLayout" zoomScaleNormal="100" workbookViewId="0">
      <selection activeCell="H13" sqref="H13:I13"/>
    </sheetView>
  </sheetViews>
  <sheetFormatPr defaultColWidth="8.85546875" defaultRowHeight="15" x14ac:dyDescent="0.25"/>
  <cols>
    <col min="1" max="1" width="16.7109375" style="20" customWidth="1"/>
    <col min="2" max="9" width="15.7109375" style="20" customWidth="1"/>
  </cols>
  <sheetData>
    <row r="1" spans="1:9" ht="18.75" x14ac:dyDescent="0.25">
      <c r="A1" s="98" t="s">
        <v>55</v>
      </c>
      <c r="B1" s="98"/>
      <c r="C1" s="98"/>
      <c r="D1" s="98"/>
      <c r="E1" s="98"/>
      <c r="F1" s="98"/>
      <c r="G1" s="98"/>
      <c r="H1" s="98"/>
      <c r="I1" s="98"/>
    </row>
    <row r="2" spans="1:9" x14ac:dyDescent="0.25">
      <c r="A2" s="99" t="s">
        <v>25</v>
      </c>
      <c r="B2" s="99"/>
      <c r="C2" s="99"/>
      <c r="D2" s="99"/>
      <c r="E2" s="99"/>
      <c r="F2" s="99"/>
      <c r="G2" s="99"/>
      <c r="H2" s="99"/>
      <c r="I2" s="99"/>
    </row>
    <row r="3" spans="1:9" x14ac:dyDescent="0.25">
      <c r="A3" s="100" t="s">
        <v>80</v>
      </c>
      <c r="B3" s="100"/>
      <c r="C3" s="100"/>
      <c r="D3" s="100"/>
      <c r="E3" s="100"/>
      <c r="F3" s="100"/>
      <c r="G3" s="100"/>
      <c r="H3" s="100"/>
      <c r="I3" s="100"/>
    </row>
    <row r="4" spans="1:9" ht="30.95" customHeight="1" x14ac:dyDescent="0.25">
      <c r="A4" s="95" t="s">
        <v>84</v>
      </c>
      <c r="B4" s="96"/>
      <c r="C4" s="97"/>
      <c r="D4" s="95" t="s">
        <v>56</v>
      </c>
      <c r="E4" s="101"/>
      <c r="F4"/>
      <c r="G4"/>
      <c r="H4"/>
      <c r="I4"/>
    </row>
    <row r="5" spans="1:9" ht="30" x14ac:dyDescent="0.25">
      <c r="A5" s="13" t="s">
        <v>53</v>
      </c>
      <c r="B5" s="13" t="s">
        <v>48</v>
      </c>
      <c r="C5" s="13" t="s">
        <v>45</v>
      </c>
      <c r="D5" s="13" t="s">
        <v>46</v>
      </c>
      <c r="E5" s="13" t="s">
        <v>54</v>
      </c>
      <c r="F5"/>
      <c r="G5"/>
      <c r="H5"/>
      <c r="I5"/>
    </row>
    <row r="6" spans="1:9" x14ac:dyDescent="0.25">
      <c r="A6" s="28">
        <v>0.8</v>
      </c>
      <c r="B6" s="42" t="str">
        <f>IF(A6=0.8,"NONE",(1200/(A6-0.8))-100)</f>
        <v>NONE</v>
      </c>
      <c r="C6" s="25">
        <f>-0.0591715976*A6+0.7565265343</f>
        <v>0.70918925622000006</v>
      </c>
      <c r="D6" s="28">
        <v>0.70899999999999996</v>
      </c>
      <c r="E6" s="25">
        <f>-16.9*D6+12.7852984293</f>
        <v>0.80319842930000007</v>
      </c>
      <c r="F6" s="50"/>
      <c r="G6"/>
      <c r="H6"/>
      <c r="I6"/>
    </row>
    <row r="8" spans="1:9" x14ac:dyDescent="0.25">
      <c r="A8" s="94" t="s">
        <v>23</v>
      </c>
      <c r="B8" s="87"/>
      <c r="C8" s="87"/>
      <c r="D8" s="87"/>
      <c r="E8" s="87"/>
      <c r="F8" s="87"/>
      <c r="G8"/>
      <c r="H8"/>
      <c r="I8"/>
    </row>
    <row r="9" spans="1:9" x14ac:dyDescent="0.25">
      <c r="A9" s="16" t="s">
        <v>36</v>
      </c>
      <c r="B9" s="41">
        <v>185.7</v>
      </c>
      <c r="C9" s="92" t="s">
        <v>32</v>
      </c>
      <c r="D9" s="93"/>
      <c r="E9" s="39">
        <f>IF(B9="NONE",0.8,(1200/(B9+100))+0.8)</f>
        <v>5.0002100105005249</v>
      </c>
      <c r="F9" s="45" t="s">
        <v>24</v>
      </c>
    </row>
    <row r="10" spans="1:9" x14ac:dyDescent="0.25">
      <c r="A10" s="6" t="s">
        <v>88</v>
      </c>
      <c r="B10" s="46"/>
      <c r="C10" s="16"/>
      <c r="D10" s="16"/>
      <c r="E10" s="47"/>
      <c r="F10" s="16"/>
    </row>
    <row r="11" spans="1:9" x14ac:dyDescent="0.25">
      <c r="A11" s="16"/>
      <c r="B11" s="46"/>
      <c r="C11" s="16"/>
      <c r="D11" s="16"/>
      <c r="E11" s="47"/>
      <c r="F11" s="16"/>
    </row>
    <row r="12" spans="1:9" x14ac:dyDescent="0.25">
      <c r="A12" s="16"/>
      <c r="B12" s="46"/>
      <c r="C12" s="16"/>
      <c r="D12" s="16"/>
      <c r="E12" s="47"/>
      <c r="F12" s="16"/>
    </row>
    <row r="13" spans="1:9" ht="18.75" x14ac:dyDescent="0.3">
      <c r="H13" s="86" t="s">
        <v>90</v>
      </c>
      <c r="I13" s="86"/>
    </row>
    <row r="14" spans="1:9" ht="30.75" customHeight="1" x14ac:dyDescent="0.25">
      <c r="A14" s="95" t="s">
        <v>85</v>
      </c>
      <c r="B14" s="96"/>
      <c r="C14" s="97"/>
      <c r="D14"/>
      <c r="E14"/>
      <c r="F14"/>
    </row>
    <row r="15" spans="1:9" ht="30" x14ac:dyDescent="0.25">
      <c r="A15" s="13" t="s">
        <v>81</v>
      </c>
      <c r="B15" s="13" t="s">
        <v>82</v>
      </c>
      <c r="C15" s="26" t="s">
        <v>86</v>
      </c>
      <c r="D15" s="26"/>
      <c r="E15"/>
      <c r="F15"/>
    </row>
    <row r="16" spans="1:9" x14ac:dyDescent="0.25">
      <c r="A16" s="28">
        <v>-13.475</v>
      </c>
      <c r="B16" s="25" t="str">
        <f>IF(A16=-13.475,"NONE",(((-100*A16)-122.5)/(A16+13.475)))</f>
        <v>NONE</v>
      </c>
      <c r="C16" s="27"/>
      <c r="D16"/>
      <c r="E16"/>
      <c r="F16"/>
    </row>
    <row r="18" spans="1:6" x14ac:dyDescent="0.25">
      <c r="A18" s="94" t="s">
        <v>23</v>
      </c>
      <c r="B18" s="87"/>
      <c r="C18" s="87"/>
      <c r="D18" s="87"/>
      <c r="E18" s="87"/>
      <c r="F18" s="87"/>
    </row>
    <row r="19" spans="1:6" x14ac:dyDescent="0.25">
      <c r="A19" s="16" t="s">
        <v>36</v>
      </c>
      <c r="B19" s="29">
        <v>16.945</v>
      </c>
      <c r="C19" s="92" t="s">
        <v>83</v>
      </c>
      <c r="D19" s="93"/>
      <c r="E19" s="25">
        <f>IF(B19="NONE",-13.475,-((13.475*B19)+122.5)/(B19+100))</f>
        <v>-2.9999903800932066</v>
      </c>
      <c r="F19" s="16" t="s">
        <v>24</v>
      </c>
    </row>
    <row r="20" spans="1:6" x14ac:dyDescent="0.25">
      <c r="A20" s="6" t="s">
        <v>89</v>
      </c>
    </row>
  </sheetData>
  <sheetProtection sheet="1" selectLockedCells="1"/>
  <mergeCells count="11">
    <mergeCell ref="H13:I13"/>
    <mergeCell ref="A1:I1"/>
    <mergeCell ref="A2:I2"/>
    <mergeCell ref="A3:I3"/>
    <mergeCell ref="A4:C4"/>
    <mergeCell ref="D4:E4"/>
    <mergeCell ref="A18:F18"/>
    <mergeCell ref="C19:D19"/>
    <mergeCell ref="C9:D9"/>
    <mergeCell ref="A8:F8"/>
    <mergeCell ref="A14:C14"/>
  </mergeCells>
  <conditionalFormatting sqref="A6">
    <cfRule type="expression" dxfId="36" priority="5">
      <formula>OR(IF(A6&lt;0.8,1,0),IF(A6&gt;5,1,0))</formula>
    </cfRule>
  </conditionalFormatting>
  <conditionalFormatting sqref="A16">
    <cfRule type="expression" dxfId="35" priority="3">
      <formula>OR(IF(A16&lt;-13.475,1,0),IF(A16&gt;-3,1,0))</formula>
    </cfRule>
  </conditionalFormatting>
  <conditionalFormatting sqref="D6">
    <cfRule type="expression" dxfId="34" priority="4">
      <formula>OR(IF(D6&lt;0.461,1,0),IF(D6&gt;0.7092,1,0))</formula>
    </cfRule>
  </conditionalFormatting>
  <conditionalFormatting sqref="E19">
    <cfRule type="expression" dxfId="33" priority="2">
      <formula>OR(IF(E19&lt;-13.475,1,0),IF(E19&gt;-2.999,1,0))</formula>
    </cfRule>
  </conditionalFormatting>
  <hyperlinks>
    <hyperlink ref="H13" location="product!A1" display="Go To Product Page!" xr:uid="{00000000-0004-0000-0700-000000000000}"/>
  </hyperlinks>
  <pageMargins left="0.7" right="0.7" top="0.75" bottom="0.75" header="0.3" footer="0.3"/>
  <pageSetup scale="80" orientation="landscape" r:id="rId1"/>
  <headerFooter>
    <oddHeader>&amp;CTrim Resistor Calculator</oddHeader>
    <oddFooter>&amp;L068-0000002 Rev J&amp;CSynQor, Inc.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7">
    <pageSetUpPr fitToPage="1"/>
  </sheetPr>
  <dimension ref="A1:I12"/>
  <sheetViews>
    <sheetView showGridLines="0" showRowColHeaders="0" showRuler="0" view="pageLayout" zoomScaleNormal="100" workbookViewId="0">
      <selection activeCell="B9" sqref="B9"/>
    </sheetView>
  </sheetViews>
  <sheetFormatPr defaultColWidth="8.85546875" defaultRowHeight="15" x14ac:dyDescent="0.25"/>
  <cols>
    <col min="1" max="1" width="15.42578125" style="7" customWidth="1"/>
    <col min="2" max="2" width="9.7109375" style="7" customWidth="1"/>
    <col min="3" max="3" width="11.28515625" style="7" customWidth="1"/>
    <col min="4" max="4" width="12.5703125" style="7" customWidth="1"/>
    <col min="5" max="5" width="14.42578125" style="7" customWidth="1"/>
    <col min="6" max="7" width="13.42578125" style="7" customWidth="1"/>
    <col min="8" max="8" width="9.42578125" style="7" customWidth="1"/>
    <col min="9" max="9" width="8.85546875" style="7" customWidth="1"/>
  </cols>
  <sheetData>
    <row r="1" spans="1:9" ht="18.75" x14ac:dyDescent="0.25">
      <c r="A1" s="98" t="s">
        <v>55</v>
      </c>
      <c r="B1" s="98"/>
      <c r="C1" s="98"/>
      <c r="D1" s="98"/>
      <c r="E1" s="98"/>
      <c r="F1" s="98"/>
      <c r="G1" s="98"/>
      <c r="H1" s="98"/>
      <c r="I1" s="98"/>
    </row>
    <row r="2" spans="1:9" x14ac:dyDescent="0.25">
      <c r="A2" s="99" t="s">
        <v>25</v>
      </c>
      <c r="B2" s="99"/>
      <c r="C2" s="99"/>
      <c r="D2" s="99"/>
      <c r="E2" s="99"/>
      <c r="F2" s="99"/>
      <c r="G2" s="99"/>
      <c r="H2" s="99"/>
      <c r="I2" s="99"/>
    </row>
    <row r="3" spans="1:9" x14ac:dyDescent="0.25">
      <c r="A3" s="100" t="s">
        <v>57</v>
      </c>
      <c r="B3" s="100"/>
      <c r="C3" s="100"/>
      <c r="D3" s="100"/>
      <c r="E3" s="100"/>
      <c r="F3" s="100"/>
      <c r="G3" s="100"/>
      <c r="H3" s="100"/>
      <c r="I3" s="100"/>
    </row>
    <row r="4" spans="1:9" ht="36" customHeight="1" x14ac:dyDescent="0.25">
      <c r="A4" s="102" t="s">
        <v>39</v>
      </c>
      <c r="B4" s="96"/>
      <c r="C4" s="97"/>
      <c r="D4" s="95" t="s">
        <v>56</v>
      </c>
      <c r="E4" s="101"/>
      <c r="F4" s="102" t="s">
        <v>38</v>
      </c>
      <c r="G4" s="96"/>
      <c r="H4" s="96"/>
      <c r="I4" s="97"/>
    </row>
    <row r="5" spans="1:9" ht="60" x14ac:dyDescent="0.25">
      <c r="A5" s="13" t="s">
        <v>53</v>
      </c>
      <c r="B5" s="13" t="s">
        <v>48</v>
      </c>
      <c r="C5" s="13" t="s">
        <v>45</v>
      </c>
      <c r="D5" s="13" t="s">
        <v>46</v>
      </c>
      <c r="E5" s="13" t="s">
        <v>54</v>
      </c>
      <c r="F5" s="13" t="s">
        <v>49</v>
      </c>
      <c r="G5" s="13" t="s">
        <v>50</v>
      </c>
      <c r="H5" s="13" t="s">
        <v>51</v>
      </c>
      <c r="I5" s="13" t="s">
        <v>52</v>
      </c>
    </row>
    <row r="6" spans="1:9" x14ac:dyDescent="0.25">
      <c r="A6" s="30">
        <v>5</v>
      </c>
      <c r="B6" s="23">
        <f>((12465*20)/(A6+0.0569*20)-10912)</f>
        <v>29703.8357771261</v>
      </c>
      <c r="C6" s="40">
        <f>2.366-(2.18*(A6/20))</f>
        <v>1.8210000000000002</v>
      </c>
      <c r="D6" s="31">
        <v>1.7869999999999999</v>
      </c>
      <c r="E6" s="37">
        <f>20*(2.366-D6)/2.18</f>
        <v>5.3119266055045884</v>
      </c>
      <c r="F6" s="30">
        <v>20</v>
      </c>
      <c r="G6" s="30">
        <v>23</v>
      </c>
      <c r="H6" s="23">
        <f>(((0.0469*F6+G6)/(1.153*F6-G6))*10200)-10</f>
        <v>4069449.9999998454</v>
      </c>
      <c r="I6" s="40">
        <f>((0.0953+2.085*G6/F6))</f>
        <v>2.4930499999999998</v>
      </c>
    </row>
    <row r="7" spans="1:9" ht="5.0999999999999996" customHeight="1" x14ac:dyDescent="0.25"/>
    <row r="8" spans="1:9" x14ac:dyDescent="0.25">
      <c r="A8" s="87" t="s">
        <v>23</v>
      </c>
      <c r="B8" s="87"/>
      <c r="C8" s="87"/>
      <c r="D8" s="87"/>
      <c r="E8" s="87"/>
      <c r="F8" s="87"/>
      <c r="G8" s="87"/>
      <c r="H8" s="87"/>
      <c r="I8" s="87"/>
    </row>
    <row r="9" spans="1:9" x14ac:dyDescent="0.25">
      <c r="A9" s="76" t="s">
        <v>36</v>
      </c>
      <c r="B9" s="32">
        <v>29704</v>
      </c>
      <c r="C9" s="70" t="s">
        <v>121</v>
      </c>
      <c r="D9" s="75"/>
      <c r="E9" s="37">
        <f>((249300/(B9+10912))-1.138)</f>
        <v>4.9999751821942091</v>
      </c>
      <c r="F9" s="72" t="s">
        <v>24</v>
      </c>
      <c r="G9" s="77"/>
    </row>
    <row r="10" spans="1:9" x14ac:dyDescent="0.25">
      <c r="A10" s="6" t="s">
        <v>87</v>
      </c>
    </row>
    <row r="12" spans="1:9" ht="18.75" x14ac:dyDescent="0.3">
      <c r="G12" s="86" t="s">
        <v>90</v>
      </c>
      <c r="H12" s="86"/>
      <c r="I12" s="86"/>
    </row>
  </sheetData>
  <sheetProtection sheet="1" selectLockedCells="1"/>
  <mergeCells count="8">
    <mergeCell ref="G12:I12"/>
    <mergeCell ref="A1:I1"/>
    <mergeCell ref="A2:I2"/>
    <mergeCell ref="A3:I3"/>
    <mergeCell ref="A8:I8"/>
    <mergeCell ref="A4:C4"/>
    <mergeCell ref="F4:I4"/>
    <mergeCell ref="D4:E4"/>
  </mergeCells>
  <hyperlinks>
    <hyperlink ref="G12" location="product!A1" display="Go To Product Page!" xr:uid="{930E81AD-7053-4DB8-A5EB-BFA121FAD9A3}"/>
  </hyperlinks>
  <pageMargins left="0.7" right="0.7" top="0.75" bottom="0.75" header="0.3" footer="0.3"/>
  <pageSetup orientation="landscape" r:id="rId1"/>
  <headerFooter>
    <oddHeader>&amp;CTrim Resistor Calculator</oddHeader>
    <oddFooter>&amp;L068-0000002 Rev J&amp;CSynQor, Inc.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8">
    <pageSetUpPr fitToPage="1"/>
  </sheetPr>
  <dimension ref="A1:I12"/>
  <sheetViews>
    <sheetView showGridLines="0" showRowColHeaders="0" showRuler="0" view="pageLayout" zoomScaleNormal="100" workbookViewId="0">
      <selection activeCell="F6" sqref="F6"/>
    </sheetView>
  </sheetViews>
  <sheetFormatPr defaultColWidth="8.85546875" defaultRowHeight="15" x14ac:dyDescent="0.25"/>
  <cols>
    <col min="1" max="1" width="15.42578125" style="7" customWidth="1"/>
    <col min="2" max="2" width="9.7109375" style="7" customWidth="1"/>
    <col min="3" max="3" width="11.28515625" style="7" customWidth="1"/>
    <col min="4" max="4" width="12.5703125" style="7" customWidth="1"/>
    <col min="5" max="5" width="14.42578125" style="7" customWidth="1"/>
    <col min="6" max="7" width="13.42578125" style="7" customWidth="1"/>
    <col min="8" max="8" width="9.42578125" style="7" customWidth="1"/>
    <col min="9" max="9" width="8.85546875" style="7" customWidth="1"/>
  </cols>
  <sheetData>
    <row r="1" spans="1:9" ht="18.75" x14ac:dyDescent="0.25">
      <c r="A1" s="98" t="s">
        <v>55</v>
      </c>
      <c r="B1" s="98"/>
      <c r="C1" s="98"/>
      <c r="D1" s="98"/>
      <c r="E1" s="98"/>
      <c r="F1" s="98"/>
      <c r="G1" s="98"/>
      <c r="H1" s="98"/>
      <c r="I1" s="98"/>
    </row>
    <row r="2" spans="1:9" x14ac:dyDescent="0.25">
      <c r="A2" s="99" t="s">
        <v>25</v>
      </c>
      <c r="B2" s="99"/>
      <c r="C2" s="99"/>
      <c r="D2" s="99"/>
      <c r="E2" s="99"/>
      <c r="F2" s="99"/>
      <c r="G2" s="99"/>
      <c r="H2" s="99"/>
      <c r="I2" s="99"/>
    </row>
    <row r="3" spans="1:9" x14ac:dyDescent="0.25">
      <c r="A3" s="100" t="s">
        <v>79</v>
      </c>
      <c r="B3" s="100"/>
      <c r="C3" s="100"/>
      <c r="D3" s="100"/>
      <c r="E3" s="100"/>
      <c r="F3" s="100"/>
      <c r="G3" s="100"/>
      <c r="H3" s="100"/>
      <c r="I3" s="100"/>
    </row>
    <row r="4" spans="1:9" ht="36" customHeight="1" x14ac:dyDescent="0.25">
      <c r="A4" s="102" t="s">
        <v>39</v>
      </c>
      <c r="B4" s="96"/>
      <c r="C4" s="97"/>
      <c r="D4" s="95" t="s">
        <v>56</v>
      </c>
      <c r="E4" s="101"/>
      <c r="F4" s="102" t="s">
        <v>38</v>
      </c>
      <c r="G4" s="96"/>
      <c r="H4" s="96"/>
      <c r="I4" s="97"/>
    </row>
    <row r="5" spans="1:9" ht="60" x14ac:dyDescent="0.25">
      <c r="A5" s="13" t="s">
        <v>53</v>
      </c>
      <c r="B5" s="13" t="s">
        <v>48</v>
      </c>
      <c r="C5" s="13" t="s">
        <v>45</v>
      </c>
      <c r="D5" s="13" t="s">
        <v>46</v>
      </c>
      <c r="E5" s="13" t="s">
        <v>54</v>
      </c>
      <c r="F5" s="13" t="s">
        <v>49</v>
      </c>
      <c r="G5" s="13" t="s">
        <v>50</v>
      </c>
      <c r="H5" s="13" t="s">
        <v>51</v>
      </c>
      <c r="I5" s="13" t="s">
        <v>52</v>
      </c>
    </row>
    <row r="6" spans="1:9" x14ac:dyDescent="0.25">
      <c r="A6" s="30">
        <v>5</v>
      </c>
      <c r="B6" s="23">
        <f>((11830*40)/(A6+0.058*40)-10912)</f>
        <v>53732.808743169393</v>
      </c>
      <c r="C6" s="40">
        <f>2.366-(2.316*(A6/40))</f>
        <v>2.0765000000000002</v>
      </c>
      <c r="D6" s="31">
        <v>2.0764999999999998</v>
      </c>
      <c r="E6" s="37">
        <f>40*(2.366-D6)/2.316</f>
        <v>5.0000000000000053</v>
      </c>
      <c r="F6" s="30">
        <v>30</v>
      </c>
      <c r="G6" s="30">
        <v>23</v>
      </c>
      <c r="H6" s="23">
        <f>(((0.0469*F6+G6)/(1.153*F6-G6))*10200)-10</f>
        <v>21469.84469370146</v>
      </c>
      <c r="I6" s="40">
        <f>((0.0953+2.085*G6/F6))</f>
        <v>1.6938</v>
      </c>
    </row>
    <row r="7" spans="1:9" ht="5.0999999999999996" customHeight="1" x14ac:dyDescent="0.25"/>
    <row r="8" spans="1:9" x14ac:dyDescent="0.25">
      <c r="A8" s="87" t="s">
        <v>23</v>
      </c>
      <c r="B8" s="87"/>
      <c r="C8" s="87"/>
      <c r="D8" s="87"/>
      <c r="E8" s="87"/>
      <c r="F8" s="87"/>
      <c r="G8" s="87"/>
      <c r="H8" s="87"/>
      <c r="I8" s="87"/>
    </row>
    <row r="9" spans="1:9" x14ac:dyDescent="0.25">
      <c r="A9" s="76" t="s">
        <v>36</v>
      </c>
      <c r="B9" s="32">
        <v>53733</v>
      </c>
      <c r="C9" s="70" t="s">
        <v>121</v>
      </c>
      <c r="D9" s="75"/>
      <c r="E9" s="37">
        <f>((473200/(B9+10912))-2.32)</f>
        <v>4.9999783432593397</v>
      </c>
      <c r="F9" s="72" t="s">
        <v>24</v>
      </c>
      <c r="G9" s="77"/>
    </row>
    <row r="10" spans="1:9" x14ac:dyDescent="0.25">
      <c r="A10" s="6" t="s">
        <v>87</v>
      </c>
    </row>
    <row r="12" spans="1:9" ht="18.75" x14ac:dyDescent="0.3">
      <c r="G12" s="86" t="s">
        <v>90</v>
      </c>
      <c r="H12" s="86"/>
      <c r="I12" s="86"/>
    </row>
  </sheetData>
  <sheetProtection sheet="1" selectLockedCells="1"/>
  <mergeCells count="8">
    <mergeCell ref="G12:I12"/>
    <mergeCell ref="A8:I8"/>
    <mergeCell ref="A1:I1"/>
    <mergeCell ref="A2:I2"/>
    <mergeCell ref="A3:I3"/>
    <mergeCell ref="A4:C4"/>
    <mergeCell ref="D4:E4"/>
    <mergeCell ref="F4:I4"/>
  </mergeCells>
  <hyperlinks>
    <hyperlink ref="G12" location="product!A1" display="Go To Product Page!" xr:uid="{F6E1C577-1BB4-416D-8ECA-64A15F75BB53}"/>
  </hyperlinks>
  <pageMargins left="0.7" right="0.7" top="0.75" bottom="0.75" header="0.3" footer="0.3"/>
  <pageSetup orientation="landscape" r:id="rId1"/>
  <headerFooter>
    <oddHeader>&amp;CTrim Resistor Calculator</oddHeader>
    <oddFooter>&amp;L068-0000002 Rev J&amp;CSynQor, Inc.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9">
    <pageSetUpPr fitToPage="1"/>
  </sheetPr>
  <dimension ref="A1:I12"/>
  <sheetViews>
    <sheetView showGridLines="0" showRowColHeaders="0" showRuler="0" view="pageLayout" zoomScaleNormal="100" workbookViewId="0">
      <selection activeCell="F6" sqref="F6"/>
    </sheetView>
  </sheetViews>
  <sheetFormatPr defaultColWidth="8.85546875" defaultRowHeight="15" x14ac:dyDescent="0.25"/>
  <cols>
    <col min="1" max="1" width="15.42578125" style="7" customWidth="1"/>
    <col min="2" max="2" width="9.7109375" style="7" customWidth="1"/>
    <col min="3" max="3" width="11.28515625" style="7" customWidth="1"/>
    <col min="4" max="4" width="12.5703125" style="7" customWidth="1"/>
    <col min="5" max="5" width="14.42578125" style="7" customWidth="1"/>
    <col min="6" max="7" width="13.42578125" style="7" customWidth="1"/>
    <col min="8" max="8" width="9.42578125" style="7" customWidth="1"/>
    <col min="9" max="9" width="8.85546875" style="7" customWidth="1"/>
  </cols>
  <sheetData>
    <row r="1" spans="1:9" ht="18.75" x14ac:dyDescent="0.25">
      <c r="A1" s="98" t="s">
        <v>55</v>
      </c>
      <c r="B1" s="98"/>
      <c r="C1" s="98"/>
      <c r="D1" s="98"/>
      <c r="E1" s="98"/>
      <c r="F1" s="98"/>
      <c r="G1" s="98"/>
      <c r="H1" s="98"/>
      <c r="I1" s="98"/>
    </row>
    <row r="2" spans="1:9" x14ac:dyDescent="0.25">
      <c r="A2" s="99" t="s">
        <v>25</v>
      </c>
      <c r="B2" s="99"/>
      <c r="C2" s="99"/>
      <c r="D2" s="99"/>
      <c r="E2" s="99"/>
      <c r="F2" s="99"/>
      <c r="G2" s="99"/>
      <c r="H2" s="99"/>
      <c r="I2" s="99"/>
    </row>
    <row r="3" spans="1:9" x14ac:dyDescent="0.25">
      <c r="A3" s="100" t="s">
        <v>122</v>
      </c>
      <c r="B3" s="100"/>
      <c r="C3" s="100"/>
      <c r="D3" s="100"/>
      <c r="E3" s="100"/>
      <c r="F3" s="100"/>
      <c r="G3" s="100"/>
      <c r="H3" s="100"/>
      <c r="I3" s="100"/>
    </row>
    <row r="4" spans="1:9" ht="36" customHeight="1" x14ac:dyDescent="0.25">
      <c r="A4" s="102" t="s">
        <v>39</v>
      </c>
      <c r="B4" s="96"/>
      <c r="C4" s="97"/>
      <c r="D4" s="95" t="s">
        <v>56</v>
      </c>
      <c r="E4" s="101"/>
      <c r="F4" s="102" t="s">
        <v>38</v>
      </c>
      <c r="G4" s="96"/>
      <c r="H4" s="96"/>
      <c r="I4" s="97"/>
    </row>
    <row r="5" spans="1:9" ht="60" x14ac:dyDescent="0.25">
      <c r="A5" s="13" t="s">
        <v>53</v>
      </c>
      <c r="B5" s="13" t="s">
        <v>48</v>
      </c>
      <c r="C5" s="13" t="s">
        <v>45</v>
      </c>
      <c r="D5" s="13" t="s">
        <v>46</v>
      </c>
      <c r="E5" s="13" t="s">
        <v>54</v>
      </c>
      <c r="F5" s="13" t="s">
        <v>49</v>
      </c>
      <c r="G5" s="13" t="s">
        <v>50</v>
      </c>
      <c r="H5" s="13" t="s">
        <v>51</v>
      </c>
      <c r="I5" s="13" t="s">
        <v>52</v>
      </c>
    </row>
    <row r="6" spans="1:9" x14ac:dyDescent="0.25">
      <c r="A6" s="30">
        <v>5</v>
      </c>
      <c r="B6" s="23">
        <f>((11900*40)/(A6+0.0543*40)-10912)</f>
        <v>55457.21360847741</v>
      </c>
      <c r="C6" s="40">
        <f>2.366-(2.284*(A6/40))</f>
        <v>2.0805000000000002</v>
      </c>
      <c r="D6" s="31">
        <v>2.0804999999999998</v>
      </c>
      <c r="E6" s="37">
        <f>40*(2.366-D6)/2.284</f>
        <v>5.0000000000000062</v>
      </c>
      <c r="F6" s="30">
        <v>30</v>
      </c>
      <c r="G6" s="30">
        <v>23</v>
      </c>
      <c r="H6" s="23">
        <f>(((0.0469*F6+G6)/(1.153*F6-G6))*10200)-10</f>
        <v>21469.84469370146</v>
      </c>
      <c r="I6" s="40">
        <f>((0.0953+2.085*G6/F6))</f>
        <v>1.6938</v>
      </c>
    </row>
    <row r="7" spans="1:9" ht="5.0999999999999996" customHeight="1" x14ac:dyDescent="0.25"/>
    <row r="8" spans="1:9" x14ac:dyDescent="0.25">
      <c r="A8" s="87" t="s">
        <v>23</v>
      </c>
      <c r="B8" s="87"/>
      <c r="C8" s="87"/>
      <c r="D8" s="87"/>
      <c r="E8" s="87"/>
      <c r="F8" s="87"/>
      <c r="G8" s="87"/>
      <c r="H8" s="87"/>
      <c r="I8" s="87"/>
    </row>
    <row r="9" spans="1:9" x14ac:dyDescent="0.25">
      <c r="A9" s="76" t="s">
        <v>36</v>
      </c>
      <c r="B9" s="32">
        <v>55457</v>
      </c>
      <c r="C9" s="70" t="s">
        <v>121</v>
      </c>
      <c r="D9" s="75"/>
      <c r="E9" s="37">
        <f>((476000/(B9+10912))-2.172)</f>
        <v>5.0000230830658889</v>
      </c>
      <c r="F9" s="72" t="s">
        <v>24</v>
      </c>
      <c r="G9" s="77"/>
    </row>
    <row r="10" spans="1:9" x14ac:dyDescent="0.25">
      <c r="A10" s="6" t="s">
        <v>87</v>
      </c>
    </row>
    <row r="12" spans="1:9" ht="18.75" x14ac:dyDescent="0.3">
      <c r="G12" s="86" t="s">
        <v>90</v>
      </c>
      <c r="H12" s="86"/>
      <c r="I12" s="86"/>
    </row>
  </sheetData>
  <sheetProtection sheet="1" selectLockedCells="1"/>
  <mergeCells count="8">
    <mergeCell ref="G12:I12"/>
    <mergeCell ref="A8:I8"/>
    <mergeCell ref="A1:I1"/>
    <mergeCell ref="A2:I2"/>
    <mergeCell ref="A3:I3"/>
    <mergeCell ref="A4:C4"/>
    <mergeCell ref="D4:E4"/>
    <mergeCell ref="F4:I4"/>
  </mergeCells>
  <hyperlinks>
    <hyperlink ref="G12" location="product!A1" display="Go To Product Page!" xr:uid="{40054412-F530-4B96-96D2-1F0581CC3070}"/>
  </hyperlinks>
  <pageMargins left="0.7" right="0.7" top="0.75" bottom="0.75" header="0.3" footer="0.3"/>
  <pageSetup orientation="landscape" r:id="rId1"/>
  <headerFooter>
    <oddHeader>&amp;CTrim Resistor Calculator</oddHeader>
    <oddFooter>&amp;L068-0000002 Rev J&amp;CSynQor, Inc.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1">
    <pageSetUpPr fitToPage="1"/>
  </sheetPr>
  <dimension ref="A1:I12"/>
  <sheetViews>
    <sheetView showGridLines="0" showRowColHeaders="0" showRuler="0" view="pageLayout" zoomScaleNormal="100" workbookViewId="0">
      <selection activeCell="F6" sqref="F6"/>
    </sheetView>
  </sheetViews>
  <sheetFormatPr defaultColWidth="8.85546875" defaultRowHeight="15" x14ac:dyDescent="0.25"/>
  <cols>
    <col min="1" max="1" width="15.42578125" style="7" customWidth="1"/>
    <col min="2" max="2" width="9.7109375" style="7" customWidth="1"/>
    <col min="3" max="3" width="11.28515625" style="7" customWidth="1"/>
    <col min="4" max="4" width="12.5703125" style="7" customWidth="1"/>
    <col min="5" max="5" width="14.42578125" style="7" customWidth="1"/>
    <col min="6" max="7" width="13.42578125" style="7" customWidth="1"/>
    <col min="8" max="8" width="9.42578125" style="7" customWidth="1"/>
    <col min="9" max="9" width="8.85546875" style="7" customWidth="1"/>
  </cols>
  <sheetData>
    <row r="1" spans="1:9" ht="18.75" x14ac:dyDescent="0.25">
      <c r="A1" s="98" t="s">
        <v>55</v>
      </c>
      <c r="B1" s="98"/>
      <c r="C1" s="98"/>
      <c r="D1" s="98"/>
      <c r="E1" s="98"/>
      <c r="F1" s="98"/>
      <c r="G1" s="98"/>
      <c r="H1" s="98"/>
      <c r="I1" s="98"/>
    </row>
    <row r="2" spans="1:9" x14ac:dyDescent="0.25">
      <c r="A2" s="99" t="s">
        <v>25</v>
      </c>
      <c r="B2" s="99"/>
      <c r="C2" s="99"/>
      <c r="D2" s="99"/>
      <c r="E2" s="99"/>
      <c r="F2" s="99"/>
      <c r="G2" s="99"/>
      <c r="H2" s="99"/>
      <c r="I2" s="99"/>
    </row>
    <row r="3" spans="1:9" x14ac:dyDescent="0.25">
      <c r="A3" s="100" t="s">
        <v>58</v>
      </c>
      <c r="B3" s="100"/>
      <c r="C3" s="100"/>
      <c r="D3" s="100"/>
      <c r="E3" s="100"/>
      <c r="F3" s="100"/>
      <c r="G3" s="100"/>
      <c r="H3" s="100"/>
      <c r="I3" s="100"/>
    </row>
    <row r="4" spans="1:9" ht="36" customHeight="1" x14ac:dyDescent="0.25">
      <c r="A4" s="102" t="s">
        <v>39</v>
      </c>
      <c r="B4" s="96"/>
      <c r="C4" s="97"/>
      <c r="D4" s="95" t="s">
        <v>56</v>
      </c>
      <c r="E4" s="101"/>
      <c r="F4" s="102" t="s">
        <v>38</v>
      </c>
      <c r="G4" s="96"/>
      <c r="H4" s="96"/>
      <c r="I4" s="97"/>
    </row>
    <row r="5" spans="1:9" ht="60" x14ac:dyDescent="0.25">
      <c r="A5" s="13" t="s">
        <v>53</v>
      </c>
      <c r="B5" s="13" t="s">
        <v>48</v>
      </c>
      <c r="C5" s="13" t="s">
        <v>45</v>
      </c>
      <c r="D5" s="13" t="s">
        <v>46</v>
      </c>
      <c r="E5" s="13" t="s">
        <v>54</v>
      </c>
      <c r="F5" s="13" t="s">
        <v>49</v>
      </c>
      <c r="G5" s="13" t="s">
        <v>50</v>
      </c>
      <c r="H5" s="13" t="s">
        <v>51</v>
      </c>
      <c r="I5" s="13" t="s">
        <v>52</v>
      </c>
    </row>
    <row r="6" spans="1:9" x14ac:dyDescent="0.25">
      <c r="A6" s="30">
        <v>5</v>
      </c>
      <c r="B6" s="23">
        <f>((11830*60)/(A6+0.058*60)-10912)</f>
        <v>72790.830188679247</v>
      </c>
      <c r="C6" s="40">
        <f>2.366-(2.316*(A6/60))</f>
        <v>2.173</v>
      </c>
      <c r="D6" s="31">
        <v>2.173</v>
      </c>
      <c r="E6" s="37">
        <f>60*(2.366-D6)/2.316</f>
        <v>5.0000000000000018</v>
      </c>
      <c r="F6" s="30">
        <v>40</v>
      </c>
      <c r="G6" s="30">
        <v>23</v>
      </c>
      <c r="H6" s="23">
        <f>(((0.0469*F6+G6)/(1.153*F6-G6))*10200)-10</f>
        <v>10964.705882352941</v>
      </c>
      <c r="I6" s="40">
        <f>((0.0953+2.085*G6/F6))</f>
        <v>1.2941749999999999</v>
      </c>
    </row>
    <row r="7" spans="1:9" ht="5.0999999999999996" customHeight="1" x14ac:dyDescent="0.25"/>
    <row r="8" spans="1:9" x14ac:dyDescent="0.25">
      <c r="A8" s="87" t="s">
        <v>23</v>
      </c>
      <c r="B8" s="87"/>
      <c r="C8" s="87"/>
      <c r="D8" s="87"/>
      <c r="E8" s="87"/>
      <c r="F8" s="87"/>
      <c r="G8" s="87"/>
      <c r="H8" s="87"/>
      <c r="I8" s="87"/>
    </row>
    <row r="9" spans="1:9" x14ac:dyDescent="0.25">
      <c r="A9" s="76" t="s">
        <v>36</v>
      </c>
      <c r="B9" s="32">
        <v>71000</v>
      </c>
      <c r="C9" s="70" t="s">
        <v>121</v>
      </c>
      <c r="D9" s="75"/>
      <c r="E9" s="37">
        <f>((709800/(B9+10912))-3.48)</f>
        <v>5.1853970114268968</v>
      </c>
      <c r="F9" s="72" t="s">
        <v>24</v>
      </c>
      <c r="G9" s="77"/>
    </row>
    <row r="10" spans="1:9" x14ac:dyDescent="0.25">
      <c r="A10" s="6" t="s">
        <v>87</v>
      </c>
    </row>
    <row r="12" spans="1:9" ht="18.75" x14ac:dyDescent="0.3">
      <c r="G12" s="86" t="s">
        <v>90</v>
      </c>
      <c r="H12" s="86"/>
      <c r="I12" s="86"/>
    </row>
  </sheetData>
  <sheetProtection sheet="1" selectLockedCells="1"/>
  <mergeCells count="8">
    <mergeCell ref="G12:I12"/>
    <mergeCell ref="A8:I8"/>
    <mergeCell ref="A1:I1"/>
    <mergeCell ref="A2:I2"/>
    <mergeCell ref="A3:I3"/>
    <mergeCell ref="A4:C4"/>
    <mergeCell ref="D4:E4"/>
    <mergeCell ref="F4:I4"/>
  </mergeCells>
  <hyperlinks>
    <hyperlink ref="G12" location="product!A1" display="Go To Product Page!" xr:uid="{28D21A20-E3CC-45A9-91A7-96E65B209D13}"/>
  </hyperlinks>
  <pageMargins left="0.7" right="0.7" top="0.75" bottom="0.75" header="0.3" footer="0.3"/>
  <pageSetup orientation="landscape" r:id="rId1"/>
  <headerFooter>
    <oddHeader>&amp;CTrim Resistor Calculator</oddHeader>
    <oddFooter>&amp;L068-0000002 Rev J&amp;CSynQor, Inc.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2</vt:i4>
      </vt:variant>
    </vt:vector>
  </HeadingPairs>
  <TitlesOfParts>
    <vt:vector size="22" baseType="lpstr">
      <vt:lpstr>product</vt:lpstr>
      <vt:lpstr>eq #1</vt:lpstr>
      <vt:lpstr>eq #2</vt:lpstr>
      <vt:lpstr>eq #3</vt:lpstr>
      <vt:lpstr>MCOTS-N-12-Q3P1N-QT</vt:lpstr>
      <vt:lpstr>NQ20</vt:lpstr>
      <vt:lpstr>NQ40 EP_QT_HG</vt:lpstr>
      <vt:lpstr>NQ40 EG_ET_QG</vt:lpstr>
      <vt:lpstr>NQ60</vt:lpstr>
      <vt:lpstr>NQ90</vt:lpstr>
      <vt:lpstr>MCOTS-270-xx-FE</vt:lpstr>
      <vt:lpstr>MCOTS-270H_HL</vt:lpstr>
      <vt:lpstr>RQ (QG, QM, QT)</vt:lpstr>
      <vt:lpstr>RQ ( HE, HG, HP)</vt:lpstr>
      <vt:lpstr>RQ (HZ)</vt:lpstr>
      <vt:lpstr>MCOTS 270 HE</vt:lpstr>
      <vt:lpstr>MCOTS 270-400 HT</vt:lpstr>
      <vt:lpstr>MCOTS 270F</vt:lpstr>
      <vt:lpstr>MCOTS-C-270-05xxT-HT</vt:lpstr>
      <vt:lpstr>MCOTS-C-270-xxxx-FT</vt:lpstr>
      <vt:lpstr>MCOTS_270_HE</vt:lpstr>
      <vt:lpstr>'eq #1'!Print_Area</vt:lpstr>
    </vt:vector>
  </TitlesOfParts>
  <Company>SynQor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Jack Palczynski</dc:creator>
  <cp:lastModifiedBy>Daniel Tran</cp:lastModifiedBy>
  <cp:lastPrinted>2024-03-15T17:48:17Z</cp:lastPrinted>
  <dcterms:created xsi:type="dcterms:W3CDTF">2015-05-07T20:09:58Z</dcterms:created>
  <dcterms:modified xsi:type="dcterms:W3CDTF">2025-06-30T19:44:03Z</dcterms:modified>
</cp:coreProperties>
</file>